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lanificacion2\Desktop\"/>
    </mc:Choice>
  </mc:AlternateContent>
  <xr:revisionPtr revIDLastSave="0" documentId="8_{25C37313-91BF-48CD-8F0F-397D10967F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1" r:id="rId1"/>
    <sheet name="Hoja2" sheetId="3" r:id="rId2"/>
    <sheet name="Hoja1" sheetId="2" r:id="rId3"/>
    <sheet name="Hoja3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6" i="1"/>
  <c r="G24" i="1"/>
  <c r="M12" i="1" l="1"/>
  <c r="G156" i="1"/>
  <c r="G42" i="1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6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5" i="2"/>
  <c r="D115" i="2"/>
  <c r="D114" i="2"/>
  <c r="D113" i="2"/>
  <c r="D112" i="2"/>
  <c r="D111" i="2"/>
  <c r="D110" i="2"/>
  <c r="D109" i="2"/>
  <c r="D108" i="2"/>
  <c r="D107" i="2"/>
  <c r="D106" i="2"/>
  <c r="D105" i="2"/>
  <c r="D103" i="2"/>
  <c r="D102" i="2"/>
  <c r="D101" i="2"/>
  <c r="D100" i="2"/>
  <c r="D99" i="2"/>
  <c r="D98" i="2"/>
  <c r="D97" i="2"/>
  <c r="D96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4" i="2"/>
  <c r="D13" i="2"/>
  <c r="D12" i="2"/>
  <c r="D11" i="2"/>
  <c r="D10" i="2"/>
  <c r="D9" i="2"/>
  <c r="D8" i="2"/>
  <c r="D7" i="2"/>
  <c r="D6" i="2"/>
  <c r="D5" i="2"/>
  <c r="I156" i="1"/>
  <c r="J54" i="1"/>
  <c r="J87" i="1"/>
  <c r="D87" i="1" s="1"/>
  <c r="J111" i="1"/>
  <c r="D111" i="1" s="1"/>
  <c r="J141" i="1"/>
  <c r="D141" i="1" s="1"/>
  <c r="J153" i="1"/>
  <c r="D153" i="1" s="1"/>
  <c r="J154" i="1"/>
  <c r="D154" i="1" s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26" i="1"/>
  <c r="H152" i="1"/>
  <c r="H151" i="1"/>
  <c r="H150" i="1"/>
  <c r="H149" i="1"/>
  <c r="H148" i="1"/>
  <c r="H147" i="1"/>
  <c r="H146" i="1"/>
  <c r="H145" i="1"/>
  <c r="H144" i="1"/>
  <c r="H143" i="1"/>
  <c r="H142" i="1"/>
  <c r="H140" i="1"/>
  <c r="H139" i="1"/>
  <c r="H138" i="1"/>
  <c r="J138" i="1" s="1"/>
  <c r="D138" i="1" s="1"/>
  <c r="H137" i="1"/>
  <c r="J137" i="1" s="1"/>
  <c r="D137" i="1" s="1"/>
  <c r="H136" i="1"/>
  <c r="H135" i="1"/>
  <c r="H134" i="1"/>
  <c r="H133" i="1"/>
  <c r="H132" i="1"/>
  <c r="H131" i="1"/>
  <c r="H130" i="1"/>
  <c r="J130" i="1" s="1"/>
  <c r="D130" i="1" s="1"/>
  <c r="H129" i="1"/>
  <c r="J129" i="1" s="1"/>
  <c r="D129" i="1" s="1"/>
  <c r="H128" i="1"/>
  <c r="H127" i="1"/>
  <c r="H126" i="1"/>
  <c r="H125" i="1"/>
  <c r="H124" i="1"/>
  <c r="H123" i="1"/>
  <c r="H122" i="1"/>
  <c r="J122" i="1" s="1"/>
  <c r="D122" i="1" s="1"/>
  <c r="H121" i="1"/>
  <c r="J121" i="1" s="1"/>
  <c r="D121" i="1" s="1"/>
  <c r="H120" i="1"/>
  <c r="H119" i="1"/>
  <c r="H118" i="1"/>
  <c r="J118" i="1" s="1"/>
  <c r="D118" i="1" s="1"/>
  <c r="H117" i="1"/>
  <c r="J117" i="1" s="1"/>
  <c r="D117" i="1" s="1"/>
  <c r="H116" i="1"/>
  <c r="H115" i="1"/>
  <c r="H114" i="1"/>
  <c r="H113" i="1"/>
  <c r="H112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J92" i="1" s="1"/>
  <c r="D92" i="1" s="1"/>
  <c r="H91" i="1"/>
  <c r="H90" i="1"/>
  <c r="H89" i="1"/>
  <c r="H88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J71" i="1" s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J55" i="1" s="1"/>
  <c r="H53" i="1"/>
  <c r="H52" i="1"/>
  <c r="H51" i="1"/>
  <c r="H50" i="1"/>
  <c r="H49" i="1"/>
  <c r="H48" i="1"/>
  <c r="H47" i="1"/>
  <c r="H46" i="1"/>
  <c r="J46" i="1" s="1"/>
  <c r="H45" i="1"/>
  <c r="H44" i="1"/>
  <c r="I42" i="1"/>
  <c r="H42" i="1"/>
  <c r="H24" i="1"/>
  <c r="J5" i="1"/>
  <c r="J42" i="1" l="1"/>
  <c r="J99" i="1"/>
  <c r="D99" i="1" s="1"/>
  <c r="J126" i="1"/>
  <c r="D126" i="1" s="1"/>
  <c r="J44" i="1"/>
  <c r="J24" i="1"/>
  <c r="J66" i="1"/>
  <c r="J144" i="1"/>
  <c r="D144" i="1" s="1"/>
  <c r="J133" i="1"/>
  <c r="D133" i="1" s="1"/>
  <c r="J114" i="1"/>
  <c r="D114" i="1" s="1"/>
  <c r="J148" i="1"/>
  <c r="D148" i="1" s="1"/>
  <c r="J145" i="1"/>
  <c r="D145" i="1" s="1"/>
  <c r="J143" i="1"/>
  <c r="D143" i="1" s="1"/>
  <c r="J147" i="1"/>
  <c r="D147" i="1" s="1"/>
  <c r="J135" i="1"/>
  <c r="D135" i="1" s="1"/>
  <c r="J125" i="1"/>
  <c r="D125" i="1" s="1"/>
  <c r="J113" i="1"/>
  <c r="D113" i="1" s="1"/>
  <c r="J101" i="1"/>
  <c r="D101" i="1" s="1"/>
  <c r="J89" i="1"/>
  <c r="D89" i="1" s="1"/>
  <c r="J77" i="1"/>
  <c r="D77" i="1" s="1"/>
  <c r="J65" i="1"/>
  <c r="J53" i="1"/>
  <c r="J146" i="1"/>
  <c r="D146" i="1" s="1"/>
  <c r="J134" i="1"/>
  <c r="D134" i="1" s="1"/>
  <c r="J124" i="1"/>
  <c r="D124" i="1" s="1"/>
  <c r="J112" i="1"/>
  <c r="D112" i="1" s="1"/>
  <c r="J100" i="1"/>
  <c r="D100" i="1" s="1"/>
  <c r="J88" i="1"/>
  <c r="D88" i="1" s="1"/>
  <c r="J76" i="1"/>
  <c r="D76" i="1" s="1"/>
  <c r="J64" i="1"/>
  <c r="J52" i="1"/>
  <c r="J136" i="1"/>
  <c r="D136" i="1" s="1"/>
  <c r="J102" i="1"/>
  <c r="D102" i="1" s="1"/>
  <c r="J90" i="1"/>
  <c r="D90" i="1" s="1"/>
  <c r="J78" i="1"/>
  <c r="J75" i="1"/>
  <c r="D75" i="1" s="1"/>
  <c r="J63" i="1"/>
  <c r="J51" i="1"/>
  <c r="J123" i="1"/>
  <c r="D123" i="1" s="1"/>
  <c r="J110" i="1"/>
  <c r="D110" i="1" s="1"/>
  <c r="J98" i="1"/>
  <c r="D98" i="1" s="1"/>
  <c r="J86" i="1"/>
  <c r="D86" i="1" s="1"/>
  <c r="J74" i="1"/>
  <c r="D74" i="1" s="1"/>
  <c r="J62" i="1"/>
  <c r="J50" i="1"/>
  <c r="J109" i="1"/>
  <c r="D109" i="1" s="1"/>
  <c r="J97" i="1"/>
  <c r="D97" i="1" s="1"/>
  <c r="J85" i="1"/>
  <c r="D85" i="1" s="1"/>
  <c r="J73" i="1"/>
  <c r="D73" i="1" s="1"/>
  <c r="J61" i="1"/>
  <c r="J49" i="1"/>
  <c r="J142" i="1"/>
  <c r="D142" i="1" s="1"/>
  <c r="J132" i="1"/>
  <c r="D132" i="1" s="1"/>
  <c r="J120" i="1"/>
  <c r="D120" i="1" s="1"/>
  <c r="J108" i="1"/>
  <c r="D108" i="1" s="1"/>
  <c r="J96" i="1"/>
  <c r="D96" i="1" s="1"/>
  <c r="J84" i="1"/>
  <c r="D84" i="1" s="1"/>
  <c r="J72" i="1"/>
  <c r="J60" i="1"/>
  <c r="J48" i="1"/>
  <c r="J131" i="1"/>
  <c r="D131" i="1" s="1"/>
  <c r="J119" i="1"/>
  <c r="D119" i="1" s="1"/>
  <c r="J107" i="1"/>
  <c r="D107" i="1" s="1"/>
  <c r="J95" i="1"/>
  <c r="D95" i="1" s="1"/>
  <c r="J83" i="1"/>
  <c r="D83" i="1" s="1"/>
  <c r="J59" i="1"/>
  <c r="J47" i="1"/>
  <c r="J152" i="1"/>
  <c r="D152" i="1" s="1"/>
  <c r="J140" i="1"/>
  <c r="D140" i="1" s="1"/>
  <c r="J106" i="1"/>
  <c r="D106" i="1" s="1"/>
  <c r="J94" i="1"/>
  <c r="D94" i="1" s="1"/>
  <c r="J82" i="1"/>
  <c r="D82" i="1" s="1"/>
  <c r="J70" i="1"/>
  <c r="J58" i="1"/>
  <c r="J151" i="1"/>
  <c r="D151" i="1" s="1"/>
  <c r="J139" i="1"/>
  <c r="D139" i="1" s="1"/>
  <c r="J105" i="1"/>
  <c r="D105" i="1" s="1"/>
  <c r="J93" i="1"/>
  <c r="D93" i="1" s="1"/>
  <c r="J81" i="1"/>
  <c r="D81" i="1" s="1"/>
  <c r="J69" i="1"/>
  <c r="J57" i="1"/>
  <c r="J45" i="1"/>
  <c r="J150" i="1"/>
  <c r="D150" i="1" s="1"/>
  <c r="J128" i="1"/>
  <c r="D128" i="1" s="1"/>
  <c r="J116" i="1"/>
  <c r="D116" i="1" s="1"/>
  <c r="J104" i="1"/>
  <c r="D104" i="1" s="1"/>
  <c r="J80" i="1"/>
  <c r="D80" i="1" s="1"/>
  <c r="J68" i="1"/>
  <c r="J56" i="1"/>
  <c r="J149" i="1"/>
  <c r="D149" i="1" s="1"/>
  <c r="J127" i="1"/>
  <c r="D127" i="1" s="1"/>
  <c r="J115" i="1"/>
  <c r="D115" i="1" s="1"/>
  <c r="J103" i="1"/>
  <c r="D103" i="1" s="1"/>
  <c r="J91" i="1"/>
  <c r="D91" i="1" s="1"/>
  <c r="J79" i="1"/>
  <c r="D79" i="1" s="1"/>
  <c r="J67" i="1"/>
  <c r="I158" i="1"/>
  <c r="H156" i="1"/>
  <c r="H158" i="1" s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2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6" i="1"/>
  <c r="F156" i="1"/>
  <c r="E156" i="1"/>
  <c r="D71" i="1"/>
  <c r="D54" i="1"/>
  <c r="F42" i="1"/>
  <c r="E42" i="1"/>
  <c r="F24" i="1"/>
  <c r="E24" i="1"/>
  <c r="L12" i="1" s="1"/>
  <c r="D5" i="1"/>
  <c r="J156" i="1" l="1"/>
  <c r="D78" i="1"/>
  <c r="D24" i="1"/>
  <c r="D42" i="1"/>
  <c r="D46" i="1"/>
  <c r="D72" i="1"/>
  <c r="D48" i="1"/>
  <c r="D50" i="1"/>
  <c r="D44" i="1"/>
  <c r="D52" i="1"/>
  <c r="D55" i="1"/>
  <c r="D51" i="1"/>
  <c r="D49" i="1"/>
  <c r="D45" i="1"/>
  <c r="D53" i="1"/>
  <c r="D47" i="1"/>
  <c r="D61" i="1"/>
  <c r="D58" i="1" l="1"/>
  <c r="D60" i="1"/>
  <c r="D56" i="1"/>
  <c r="D66" i="1"/>
  <c r="D68" i="1"/>
  <c r="D70" i="1"/>
  <c r="D62" i="1"/>
  <c r="D64" i="1"/>
  <c r="D67" i="1"/>
  <c r="D65" i="1"/>
  <c r="D57" i="1"/>
  <c r="D63" i="1"/>
  <c r="D69" i="1"/>
  <c r="D59" i="1"/>
  <c r="D155" i="1" l="1"/>
  <c r="D157" i="1"/>
  <c r="D156" i="1" l="1"/>
  <c r="E165" i="1"/>
</calcChain>
</file>

<file path=xl/sharedStrings.xml><?xml version="1.0" encoding="utf-8"?>
<sst xmlns="http://schemas.openxmlformats.org/spreadsheetml/2006/main" count="175" uniqueCount="160">
  <si>
    <t xml:space="preserve">Producción global de raciones cocidas </t>
  </si>
  <si>
    <t>COCINAS MOVILES</t>
  </si>
  <si>
    <t>OCTUBRE</t>
  </si>
  <si>
    <t>NOVIEMBRE</t>
  </si>
  <si>
    <t>DICIEMBRE COMEDORES</t>
  </si>
  <si>
    <t>DICIEMBRE NAVIDAD</t>
  </si>
  <si>
    <t>TOTAL</t>
  </si>
  <si>
    <t>Cocina Móvil 1-40</t>
  </si>
  <si>
    <t>Cocina Móvil 01</t>
  </si>
  <si>
    <t>Cocina Móvil 03</t>
  </si>
  <si>
    <t>Cocina Móvil 08</t>
  </si>
  <si>
    <t>Cocina Móvil 09</t>
  </si>
  <si>
    <t>Cocina Móvil 12</t>
  </si>
  <si>
    <t>Cocina Móvil 13</t>
  </si>
  <si>
    <r>
      <t xml:space="preserve">Cocina Móvil 14 </t>
    </r>
    <r>
      <rPr>
        <sz val="8"/>
        <color rgb="FF4C4747"/>
        <rFont val="Times New Roman"/>
        <family val="1"/>
      </rPr>
      <t>(MIGRACION)</t>
    </r>
  </si>
  <si>
    <t>Cocina Móvil 16</t>
  </si>
  <si>
    <t>Cocina Móvil 17</t>
  </si>
  <si>
    <t>Cocina Móvil 21</t>
  </si>
  <si>
    <t>Cocina Móvil 22</t>
  </si>
  <si>
    <t>Cocina Móvil 23</t>
  </si>
  <si>
    <t>Cocina Móvil 24</t>
  </si>
  <si>
    <t>Cocina Móvil 25</t>
  </si>
  <si>
    <t>Cocina Móvil 29</t>
  </si>
  <si>
    <t>Obras Públicas</t>
  </si>
  <si>
    <t>Cocina Móvil 34</t>
  </si>
  <si>
    <t>Cocina Móvil 37</t>
  </si>
  <si>
    <t>Total de Cocinas Moviles</t>
  </si>
  <si>
    <t>EXPENDIOS</t>
  </si>
  <si>
    <t>Nueva Barquita</t>
  </si>
  <si>
    <t>Capotillo</t>
  </si>
  <si>
    <t>Sabana Larga</t>
  </si>
  <si>
    <t>Arroyo Dulce</t>
  </si>
  <si>
    <t xml:space="preserve">Los Patos </t>
  </si>
  <si>
    <t>Palo Alto</t>
  </si>
  <si>
    <t>Batey #5</t>
  </si>
  <si>
    <t>Jobos</t>
  </si>
  <si>
    <t>Tierra Nueva</t>
  </si>
  <si>
    <t>Universidad UTECO</t>
  </si>
  <si>
    <t>Batey #8</t>
  </si>
  <si>
    <t>Batey #9</t>
  </si>
  <si>
    <t>Quita Coraza</t>
  </si>
  <si>
    <t>Canoa</t>
  </si>
  <si>
    <t>Cachon</t>
  </si>
  <si>
    <t xml:space="preserve">Fondo Negro </t>
  </si>
  <si>
    <t>Total de Expendios</t>
  </si>
  <si>
    <t>COMEDORES PRODUCTORES</t>
  </si>
  <si>
    <t>Los  Mina</t>
  </si>
  <si>
    <t>Cocina Adm I</t>
  </si>
  <si>
    <t>Cocina Adm II</t>
  </si>
  <si>
    <t>Villa Olímpica</t>
  </si>
  <si>
    <t>Villa Liberación</t>
  </si>
  <si>
    <t>Cristo Rey</t>
  </si>
  <si>
    <t>Los  Alcarrizos</t>
  </si>
  <si>
    <t>Las  Caobas</t>
  </si>
  <si>
    <t>Herrera</t>
  </si>
  <si>
    <t>Loteria Nacional</t>
  </si>
  <si>
    <t>UASD Sto.Dgo</t>
  </si>
  <si>
    <t>CEA</t>
  </si>
  <si>
    <t>La Victoria</t>
  </si>
  <si>
    <t>Monte Plata</t>
  </si>
  <si>
    <t>Bayaguana</t>
  </si>
  <si>
    <t>Yamasa</t>
  </si>
  <si>
    <t>Sabana Grande de Boyá</t>
  </si>
  <si>
    <t>La Romana</t>
  </si>
  <si>
    <t>El Seibo</t>
  </si>
  <si>
    <t>Hato Mayor</t>
  </si>
  <si>
    <t>Quisqueya</t>
  </si>
  <si>
    <t>San Pedro De Macorís</t>
  </si>
  <si>
    <t>San Cristóbal</t>
  </si>
  <si>
    <t xml:space="preserve">Villa Altagracia </t>
  </si>
  <si>
    <t>Nizao</t>
  </si>
  <si>
    <t>San José de Ocoa</t>
  </si>
  <si>
    <t>Azua</t>
  </si>
  <si>
    <t>Las Yayas</t>
  </si>
  <si>
    <t>Estebania</t>
  </si>
  <si>
    <t>Padre las Casas</t>
  </si>
  <si>
    <t>Barahona</t>
  </si>
  <si>
    <t>UASD Barahona</t>
  </si>
  <si>
    <t>Enriquillo</t>
  </si>
  <si>
    <t>Paraiso</t>
  </si>
  <si>
    <t>Polo</t>
  </si>
  <si>
    <t>Batey 6</t>
  </si>
  <si>
    <t>La Cienega</t>
  </si>
  <si>
    <t xml:space="preserve">Cabral </t>
  </si>
  <si>
    <t>Peñon</t>
  </si>
  <si>
    <t>Jaquimeyes</t>
  </si>
  <si>
    <t>Mena</t>
  </si>
  <si>
    <t>Vicente Noble</t>
  </si>
  <si>
    <t>San Juan De La Maguana</t>
  </si>
  <si>
    <t>UASD San Juan De La Maguana</t>
  </si>
  <si>
    <t>El Yaque</t>
  </si>
  <si>
    <t>Bohechio</t>
  </si>
  <si>
    <t>Arroyo Cano</t>
  </si>
  <si>
    <t>Neyba</t>
  </si>
  <si>
    <t>Tamayo</t>
  </si>
  <si>
    <t>Galván</t>
  </si>
  <si>
    <t>Elías Piña</t>
  </si>
  <si>
    <t xml:space="preserve">Duverge </t>
  </si>
  <si>
    <t>Pedernales</t>
  </si>
  <si>
    <t>Oviedo</t>
  </si>
  <si>
    <t>Boca De Cachón</t>
  </si>
  <si>
    <t>Cristóbal</t>
  </si>
  <si>
    <t>Postrer Rio</t>
  </si>
  <si>
    <t>Samaná</t>
  </si>
  <si>
    <t>Bonao</t>
  </si>
  <si>
    <t>UASD Bonao</t>
  </si>
  <si>
    <t>La Vega</t>
  </si>
  <si>
    <t>Jima Abajo</t>
  </si>
  <si>
    <t>Constanza</t>
  </si>
  <si>
    <t>Moca</t>
  </si>
  <si>
    <t>San Francisco. De Macorís</t>
  </si>
  <si>
    <t>UASD San Francisco</t>
  </si>
  <si>
    <t>Nagua</t>
  </si>
  <si>
    <t xml:space="preserve">Rio San Juan </t>
  </si>
  <si>
    <t>Cotui</t>
  </si>
  <si>
    <t>Los  Platanitos</t>
  </si>
  <si>
    <t>Navarrete</t>
  </si>
  <si>
    <t>Pekín, Santiago</t>
  </si>
  <si>
    <t>Cienfuegos</t>
  </si>
  <si>
    <t>Villa Gonzalez</t>
  </si>
  <si>
    <t>Santiago Rodríguez</t>
  </si>
  <si>
    <t>Puerto Plata</t>
  </si>
  <si>
    <t>Montecristi</t>
  </si>
  <si>
    <t>Cruz De Manzanillo</t>
  </si>
  <si>
    <t xml:space="preserve">Mao Valverde </t>
  </si>
  <si>
    <t>Dajabón</t>
  </si>
  <si>
    <t xml:space="preserve">Loma de Cabrera </t>
  </si>
  <si>
    <t>El Pino</t>
  </si>
  <si>
    <t>Valiente</t>
  </si>
  <si>
    <t>INPOSDOM</t>
  </si>
  <si>
    <t>Las Charcas de Maria Nova</t>
  </si>
  <si>
    <t>Batey 7</t>
  </si>
  <si>
    <t>Uvilla Bahoruco</t>
  </si>
  <si>
    <t>Villa Central</t>
  </si>
  <si>
    <t>Sabana de la Mar</t>
  </si>
  <si>
    <t>Villa Jaragua</t>
  </si>
  <si>
    <t xml:space="preserve">Los Rios </t>
  </si>
  <si>
    <t>Salinas</t>
  </si>
  <si>
    <t>Los Llanos</t>
  </si>
  <si>
    <t>Las Guaranas</t>
  </si>
  <si>
    <t>Guerra</t>
  </si>
  <si>
    <t>Cevicos</t>
  </si>
  <si>
    <t>Báni</t>
  </si>
  <si>
    <t>Escuela P. Hatillo</t>
  </si>
  <si>
    <t>Las Charcas de Azua</t>
  </si>
  <si>
    <t>Santana de Tamayo</t>
  </si>
  <si>
    <t>La Descubierta</t>
  </si>
  <si>
    <t>Jimani</t>
  </si>
  <si>
    <t>Tabara Arriba</t>
  </si>
  <si>
    <t>Peralvillo</t>
  </si>
  <si>
    <t>Guachupita</t>
  </si>
  <si>
    <t>Monte Grande</t>
  </si>
  <si>
    <t xml:space="preserve">Salado de Galvan </t>
  </si>
  <si>
    <t>Barrera de Azua</t>
  </si>
  <si>
    <t>Sabana Yegua de Azua</t>
  </si>
  <si>
    <t>PLAN SOCIAL</t>
  </si>
  <si>
    <t>Palenque</t>
  </si>
  <si>
    <t>Total Comedores Productores</t>
  </si>
  <si>
    <t>Total General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</si>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</sst>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;[Red]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Times New Roman"/>
      <family val="1"/>
    </font>
    <font>
      <b/>
      <sz val="11"/>
      <color rgb="FF4C4747"/>
      <name val="Times New Roman"/>
      <family val="1"/>
    </font>
    <font>
      <sz val="11"/>
      <color rgb="FF4C4747"/>
      <name val="Times New Roman"/>
      <family val="1"/>
    </font>
    <font>
      <sz val="8"/>
      <color rgb="FF4C4747"/>
      <name val="Times New Roman"/>
      <family val="1"/>
    </font>
    <font>
      <sz val="11"/>
      <color theme="4" tint="-0.499984740745262"/>
      <name val="Calibri"/>
      <family val="2"/>
      <scheme val="minor"/>
    </font>
    <font>
      <sz val="11"/>
      <color theme="1" tint="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142F6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0E6ED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7F7F7F"/>
      </bottom>
      <diagonal/>
    </border>
    <border>
      <left/>
      <right style="medium">
        <color indexed="64"/>
      </right>
      <top style="medium">
        <color indexed="64"/>
      </top>
      <bottom style="medium">
        <color rgb="FF7F7F7F"/>
      </bottom>
      <diagonal/>
    </border>
    <border>
      <left style="medium">
        <color indexed="64"/>
      </left>
      <right/>
      <top style="medium">
        <color rgb="FF7F7F7F"/>
      </top>
      <bottom style="medium">
        <color rgb="FF7F7F7F"/>
      </bottom>
      <diagonal/>
    </border>
    <border>
      <left/>
      <right style="medium">
        <color indexed="64"/>
      </right>
      <top style="medium">
        <color rgb="FF7F7F7F"/>
      </top>
      <bottom style="medium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7F7F7F"/>
      </right>
      <top/>
      <bottom/>
      <diagonal/>
    </border>
    <border>
      <left style="medium">
        <color rgb="FF7F7F7F"/>
      </left>
      <right style="medium">
        <color indexed="64"/>
      </right>
      <top style="medium">
        <color rgb="FF7F7F7F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7F7F7F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7F7F7F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vertical="top"/>
    </xf>
    <xf numFmtId="164" fontId="0" fillId="0" borderId="0" xfId="1" applyFont="1"/>
    <xf numFmtId="165" fontId="0" fillId="0" borderId="0" xfId="0" applyNumberFormat="1"/>
    <xf numFmtId="0" fontId="2" fillId="0" borderId="0" xfId="0" applyFont="1"/>
    <xf numFmtId="0" fontId="2" fillId="4" borderId="7" xfId="0" applyFont="1" applyFill="1" applyBorder="1" applyAlignment="1">
      <alignment horizontal="center" vertical="top"/>
    </xf>
    <xf numFmtId="0" fontId="2" fillId="4" borderId="8" xfId="0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justify" vertical="top"/>
    </xf>
    <xf numFmtId="3" fontId="5" fillId="5" borderId="11" xfId="0" applyNumberFormat="1" applyFont="1" applyFill="1" applyBorder="1" applyAlignment="1">
      <alignment horizontal="right" vertical="top"/>
    </xf>
    <xf numFmtId="165" fontId="0" fillId="0" borderId="7" xfId="0" applyNumberFormat="1" applyBorder="1"/>
    <xf numFmtId="165" fontId="0" fillId="0" borderId="12" xfId="0" applyNumberFormat="1" applyBorder="1"/>
    <xf numFmtId="165" fontId="0" fillId="0" borderId="13" xfId="0" applyNumberFormat="1" applyBorder="1"/>
    <xf numFmtId="165" fontId="0" fillId="0" borderId="5" xfId="0" applyNumberFormat="1" applyBorder="1"/>
    <xf numFmtId="0" fontId="5" fillId="0" borderId="14" xfId="0" applyFont="1" applyBorder="1" applyAlignment="1">
      <alignment horizontal="justify" vertical="top"/>
    </xf>
    <xf numFmtId="3" fontId="5" fillId="5" borderId="13" xfId="0" applyNumberFormat="1" applyFont="1" applyFill="1" applyBorder="1" applyAlignment="1">
      <alignment horizontal="right" vertical="top"/>
    </xf>
    <xf numFmtId="165" fontId="0" fillId="0" borderId="16" xfId="0" applyNumberFormat="1" applyBorder="1"/>
    <xf numFmtId="3" fontId="5" fillId="5" borderId="16" xfId="0" applyNumberFormat="1" applyFont="1" applyFill="1" applyBorder="1" applyAlignment="1">
      <alignment horizontal="right" vertical="top"/>
    </xf>
    <xf numFmtId="0" fontId="3" fillId="2" borderId="17" xfId="0" applyFont="1" applyFill="1" applyBorder="1" applyAlignment="1">
      <alignment horizontal="center" vertical="top"/>
    </xf>
    <xf numFmtId="3" fontId="3" fillId="2" borderId="18" xfId="0" applyNumberFormat="1" applyFont="1" applyFill="1" applyBorder="1" applyAlignment="1">
      <alignment horizontal="right" vertical="top" wrapText="1"/>
    </xf>
    <xf numFmtId="165" fontId="2" fillId="6" borderId="6" xfId="0" applyNumberFormat="1" applyFont="1" applyFill="1" applyBorder="1"/>
    <xf numFmtId="165" fontId="2" fillId="6" borderId="7" xfId="0" applyNumberFormat="1" applyFont="1" applyFill="1" applyBorder="1"/>
    <xf numFmtId="165" fontId="2" fillId="6" borderId="19" xfId="0" applyNumberFormat="1" applyFont="1" applyFill="1" applyBorder="1"/>
    <xf numFmtId="165" fontId="2" fillId="6" borderId="20" xfId="0" applyNumberFormat="1" applyFont="1" applyFill="1" applyBorder="1"/>
    <xf numFmtId="165" fontId="2" fillId="6" borderId="5" xfId="0" applyNumberFormat="1" applyFont="1" applyFill="1" applyBorder="1"/>
    <xf numFmtId="3" fontId="5" fillId="5" borderId="6" xfId="0" applyNumberFormat="1" applyFont="1" applyFill="1" applyBorder="1" applyAlignment="1">
      <alignment horizontal="right" vertical="top"/>
    </xf>
    <xf numFmtId="0" fontId="5" fillId="0" borderId="15" xfId="0" applyFont="1" applyBorder="1" applyAlignment="1">
      <alignment horizontal="justify" vertical="top"/>
    </xf>
    <xf numFmtId="0" fontId="5" fillId="0" borderId="23" xfId="0" applyFont="1" applyBorder="1" applyAlignment="1">
      <alignment horizontal="justify" vertical="top"/>
    </xf>
    <xf numFmtId="3" fontId="3" fillId="2" borderId="24" xfId="0" applyNumberFormat="1" applyFont="1" applyFill="1" applyBorder="1" applyAlignment="1">
      <alignment horizontal="right" vertical="top" wrapText="1"/>
    </xf>
    <xf numFmtId="0" fontId="5" fillId="5" borderId="0" xfId="0" applyFont="1" applyFill="1" applyAlignment="1">
      <alignment horizontal="justify" vertical="top"/>
    </xf>
    <xf numFmtId="0" fontId="5" fillId="5" borderId="14" xfId="0" applyFont="1" applyFill="1" applyBorder="1" applyAlignment="1">
      <alignment horizontal="justify"/>
    </xf>
    <xf numFmtId="3" fontId="0" fillId="0" borderId="6" xfId="0" applyNumberFormat="1" applyBorder="1"/>
    <xf numFmtId="165" fontId="0" fillId="0" borderId="6" xfId="0" applyNumberFormat="1" applyBorder="1"/>
    <xf numFmtId="165" fontId="0" fillId="0" borderId="14" xfId="0" applyNumberFormat="1" applyBorder="1"/>
    <xf numFmtId="165" fontId="0" fillId="0" borderId="22" xfId="0" applyNumberFormat="1" applyBorder="1"/>
    <xf numFmtId="0" fontId="5" fillId="7" borderId="14" xfId="0" applyFont="1" applyFill="1" applyBorder="1" applyAlignment="1">
      <alignment horizontal="justify"/>
    </xf>
    <xf numFmtId="3" fontId="5" fillId="7" borderId="16" xfId="0" applyNumberFormat="1" applyFont="1" applyFill="1" applyBorder="1" applyAlignment="1">
      <alignment horizontal="right" vertical="top"/>
    </xf>
    <xf numFmtId="165" fontId="0" fillId="0" borderId="26" xfId="0" applyNumberFormat="1" applyBorder="1"/>
    <xf numFmtId="0" fontId="5" fillId="5" borderId="14" xfId="0" applyFont="1" applyFill="1" applyBorder="1" applyAlignment="1">
      <alignment horizontal="justify" vertical="top"/>
    </xf>
    <xf numFmtId="3" fontId="0" fillId="0" borderId="6" xfId="0" applyNumberFormat="1" applyBorder="1" applyAlignment="1">
      <alignment vertical="top"/>
    </xf>
    <xf numFmtId="165" fontId="0" fillId="0" borderId="28" xfId="0" applyNumberFormat="1" applyBorder="1"/>
    <xf numFmtId="3" fontId="0" fillId="0" borderId="16" xfId="0" applyNumberFormat="1" applyBorder="1" applyAlignment="1">
      <alignment vertical="top"/>
    </xf>
    <xf numFmtId="3" fontId="0" fillId="0" borderId="7" xfId="0" applyNumberFormat="1" applyBorder="1" applyAlignment="1">
      <alignment vertical="top"/>
    </xf>
    <xf numFmtId="3" fontId="0" fillId="0" borderId="28" xfId="0" applyNumberFormat="1" applyBorder="1"/>
    <xf numFmtId="0" fontId="0" fillId="0" borderId="16" xfId="0" applyBorder="1" applyAlignment="1">
      <alignment vertical="top"/>
    </xf>
    <xf numFmtId="3" fontId="5" fillId="5" borderId="7" xfId="0" applyNumberFormat="1" applyFont="1" applyFill="1" applyBorder="1" applyAlignment="1">
      <alignment horizontal="right" vertical="top"/>
    </xf>
    <xf numFmtId="3" fontId="0" fillId="0" borderId="28" xfId="0" applyNumberFormat="1" applyBorder="1" applyAlignment="1">
      <alignment vertical="top"/>
    </xf>
    <xf numFmtId="165" fontId="0" fillId="0" borderId="16" xfId="0" applyNumberFormat="1" applyBorder="1" applyAlignment="1">
      <alignment vertical="top"/>
    </xf>
    <xf numFmtId="165" fontId="0" fillId="0" borderId="7" xfId="0" applyNumberFormat="1" applyBorder="1" applyAlignment="1">
      <alignment vertical="top"/>
    </xf>
    <xf numFmtId="0" fontId="3" fillId="2" borderId="29" xfId="0" applyFont="1" applyFill="1" applyBorder="1" applyAlignment="1">
      <alignment horizontal="justify" vertical="top"/>
    </xf>
    <xf numFmtId="3" fontId="3" fillId="2" borderId="30" xfId="0" applyNumberFormat="1" applyFont="1" applyFill="1" applyBorder="1" applyAlignment="1">
      <alignment horizontal="right" vertical="top"/>
    </xf>
    <xf numFmtId="0" fontId="3" fillId="5" borderId="0" xfId="0" applyFont="1" applyFill="1" applyAlignment="1">
      <alignment horizontal="justify" vertical="top"/>
    </xf>
    <xf numFmtId="3" fontId="3" fillId="5" borderId="0" xfId="0" applyNumberFormat="1" applyFont="1" applyFill="1" applyAlignment="1">
      <alignment horizontal="right" vertical="top"/>
    </xf>
    <xf numFmtId="165" fontId="2" fillId="5" borderId="0" xfId="0" applyNumberFormat="1" applyFont="1" applyFill="1"/>
    <xf numFmtId="165" fontId="0" fillId="0" borderId="27" xfId="0" applyNumberFormat="1" applyBorder="1"/>
    <xf numFmtId="0" fontId="2" fillId="4" borderId="25" xfId="0" applyFont="1" applyFill="1" applyBorder="1" applyAlignment="1">
      <alignment horizontal="center" vertical="top" wrapText="1"/>
    </xf>
    <xf numFmtId="37" fontId="2" fillId="4" borderId="6" xfId="1" applyNumberFormat="1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165" fontId="0" fillId="4" borderId="0" xfId="0" applyNumberFormat="1" applyFill="1"/>
    <xf numFmtId="0" fontId="0" fillId="8" borderId="0" xfId="0" applyFill="1"/>
    <xf numFmtId="165" fontId="0" fillId="0" borderId="31" xfId="0" applyNumberFormat="1" applyBorder="1"/>
    <xf numFmtId="165" fontId="0" fillId="0" borderId="33" xfId="0" applyNumberFormat="1" applyBorder="1"/>
    <xf numFmtId="0" fontId="2" fillId="4" borderId="32" xfId="0" applyFont="1" applyFill="1" applyBorder="1" applyAlignment="1">
      <alignment horizontal="center" vertical="top"/>
    </xf>
    <xf numFmtId="165" fontId="0" fillId="0" borderId="34" xfId="0" applyNumberFormat="1" applyBorder="1"/>
    <xf numFmtId="165" fontId="2" fillId="6" borderId="35" xfId="0" applyNumberFormat="1" applyFont="1" applyFill="1" applyBorder="1"/>
    <xf numFmtId="37" fontId="2" fillId="4" borderId="7" xfId="1" applyNumberFormat="1" applyFont="1" applyFill="1" applyBorder="1"/>
    <xf numFmtId="37" fontId="2" fillId="0" borderId="0" xfId="1" applyNumberFormat="1" applyFont="1" applyFill="1" applyBorder="1"/>
    <xf numFmtId="37" fontId="0" fillId="0" borderId="0" xfId="0" applyNumberForma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horizontal="center" vertical="top"/>
    </xf>
    <xf numFmtId="4" fontId="0" fillId="0" borderId="0" xfId="0" applyNumberFormat="1" applyFill="1" applyBorder="1"/>
    <xf numFmtId="164" fontId="0" fillId="0" borderId="0" xfId="1" applyFont="1" applyFill="1" applyBorder="1"/>
    <xf numFmtId="165" fontId="0" fillId="0" borderId="0" xfId="0" applyNumberFormat="1" applyFill="1" applyBorder="1"/>
    <xf numFmtId="165" fontId="2" fillId="0" borderId="0" xfId="0" applyNumberFormat="1" applyFont="1" applyFill="1" applyBorder="1"/>
    <xf numFmtId="164" fontId="0" fillId="0" borderId="0" xfId="0" applyNumberFormat="1" applyFill="1" applyBorder="1"/>
    <xf numFmtId="3" fontId="0" fillId="0" borderId="0" xfId="0" applyNumberFormat="1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2" fillId="4" borderId="36" xfId="0" applyFont="1" applyFill="1" applyBorder="1" applyAlignment="1">
      <alignment horizontal="center" vertical="top"/>
    </xf>
    <xf numFmtId="165" fontId="7" fillId="0" borderId="6" xfId="0" applyNumberFormat="1" applyFont="1" applyBorder="1"/>
    <xf numFmtId="0" fontId="2" fillId="4" borderId="37" xfId="0" applyFont="1" applyFill="1" applyBorder="1" applyAlignment="1">
      <alignment horizontal="center" vertical="top"/>
    </xf>
    <xf numFmtId="0" fontId="2" fillId="4" borderId="38" xfId="0" applyFont="1" applyFill="1" applyBorder="1" applyAlignment="1">
      <alignment horizontal="center" vertical="top"/>
    </xf>
    <xf numFmtId="0" fontId="2" fillId="4" borderId="39" xfId="0" applyFont="1" applyFill="1" applyBorder="1" applyAlignment="1">
      <alignment horizontal="center" vertical="top" wrapText="1"/>
    </xf>
    <xf numFmtId="0" fontId="2" fillId="4" borderId="40" xfId="0" applyFont="1" applyFill="1" applyBorder="1" applyAlignment="1">
      <alignment horizontal="center" vertical="top" wrapText="1"/>
    </xf>
    <xf numFmtId="165" fontId="0" fillId="0" borderId="26" xfId="0" applyNumberFormat="1" applyBorder="1" applyAlignment="1">
      <alignment vertical="top"/>
    </xf>
    <xf numFmtId="165" fontId="0" fillId="0" borderId="6" xfId="0" applyNumberFormat="1" applyBorder="1" applyAlignment="1">
      <alignment vertical="top"/>
    </xf>
    <xf numFmtId="0" fontId="2" fillId="9" borderId="6" xfId="0" applyFont="1" applyFill="1" applyBorder="1" applyAlignment="1">
      <alignment horizontal="center" vertical="center"/>
    </xf>
    <xf numFmtId="165" fontId="2" fillId="0" borderId="6" xfId="0" applyNumberFormat="1" applyFont="1" applyFill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165" fontId="8" fillId="0" borderId="7" xfId="0" applyNumberFormat="1" applyFont="1" applyBorder="1"/>
    <xf numFmtId="165" fontId="8" fillId="0" borderId="6" xfId="0" applyNumberFormat="1" applyFont="1" applyBorder="1"/>
    <xf numFmtId="165" fontId="2" fillId="6" borderId="4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b="1">
                <a:latin typeface="Times New Roman" panose="02020603050405020304" pitchFamily="18" charset="0"/>
                <a:cs typeface="Times New Roman" panose="02020603050405020304" pitchFamily="18" charset="0"/>
              </a:rPr>
              <a:t>Producción General</a:t>
            </a:r>
            <a:r>
              <a:rPr lang="en-US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Octubre-Diciembre 2025 </a:t>
            </a:r>
            <a:endParaRPr lang="en-US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5931849349281171"/>
          <c:y val="2.12121212121212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2.1145713187235678E-2"/>
          <c:y val="0.12030303030303031"/>
          <c:w val="0.95770857362552864"/>
          <c:h val="0.8105707468384634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2A05-4783-9523-295E2BE6D6E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A05-4783-9523-295E2BE6D6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'2025'!$L$11:$N$11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'2025'!$L$12:$N$12</c:f>
              <c:numCache>
                <c:formatCode>#,##0;[Red]#,##0</c:formatCode>
                <c:ptCount val="3"/>
                <c:pt idx="0">
                  <c:v>4198059</c:v>
                </c:pt>
                <c:pt idx="1">
                  <c:v>3589179</c:v>
                </c:pt>
                <c:pt idx="2">
                  <c:v>22076819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5-4783-9523-295E2BE6D6E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947215087"/>
        <c:axId val="947215567"/>
      </c:barChart>
      <c:catAx>
        <c:axId val="94721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947215567"/>
        <c:crosses val="autoZero"/>
        <c:auto val="1"/>
        <c:lblAlgn val="ctr"/>
        <c:lblOffset val="100"/>
        <c:noMultiLvlLbl val="0"/>
      </c:catAx>
      <c:valAx>
        <c:axId val="947215567"/>
        <c:scaling>
          <c:orientation val="minMax"/>
        </c:scaling>
        <c:delete val="1"/>
        <c:axPos val="l"/>
        <c:numFmt formatCode="#,##0;[Red]#,##0" sourceLinked="1"/>
        <c:majorTickMark val="out"/>
        <c:minorTickMark val="none"/>
        <c:tickLblPos val="nextTo"/>
        <c:crossAx val="947215087"/>
        <c:crosses val="autoZero"/>
        <c:crossBetween val="between"/>
      </c:valAx>
      <c:spPr>
        <a:noFill/>
        <a:ln>
          <a:solidFill>
            <a:schemeClr val="accent1"/>
          </a:solidFill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236220</xdr:colOff>
      <xdr:row>1</xdr:row>
      <xdr:rowOff>15240</xdr:rowOff>
    </xdr:from>
    <xdr:to>
      <xdr:col>18</xdr:col>
      <xdr:colOff>22860</xdr:colOff>
      <xdr:row>23</xdr:row>
      <xdr:rowOff>129540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9D9434D-7782-9820-D07A-FB7C09BF0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65"/>
  <sheetViews>
    <sheetView showGridLines="0" tabSelected="1" topLeftCell="B1" zoomScaleNormal="100" workbookViewId="0">
      <selection activeCell="L26" sqref="L26"/>
    </sheetView>
  </sheetViews>
  <sheetFormatPr baseColWidth="10" defaultRowHeight="14.4" x14ac:dyDescent="0.3"/>
  <cols>
    <col min="1" max="1" width="0" hidden="1" customWidth="1"/>
    <col min="2" max="2" width="4.109375" customWidth="1"/>
    <col min="3" max="3" width="25.109375" style="1" customWidth="1"/>
    <col min="4" max="4" width="16" style="1" customWidth="1"/>
    <col min="5" max="5" width="16" customWidth="1"/>
    <col min="6" max="6" width="14.88671875" customWidth="1"/>
    <col min="7" max="7" width="13.88671875" customWidth="1"/>
    <col min="8" max="8" width="15.6640625" hidden="1" customWidth="1"/>
    <col min="9" max="9" width="10.44140625" hidden="1" customWidth="1"/>
    <col min="10" max="10" width="18" customWidth="1"/>
    <col min="11" max="11" width="11.88671875" style="73" customWidth="1"/>
    <col min="12" max="12" width="16.44140625" style="73" customWidth="1"/>
    <col min="13" max="13" width="13.33203125" customWidth="1"/>
  </cols>
  <sheetData>
    <row r="2" spans="3:14" ht="15" thickBot="1" x14ac:dyDescent="0.35">
      <c r="E2" s="2"/>
      <c r="F2" s="2"/>
      <c r="G2" s="2"/>
      <c r="H2" s="2"/>
      <c r="I2" s="2"/>
      <c r="J2" s="2"/>
    </row>
    <row r="3" spans="3:14" ht="15" thickBot="1" x14ac:dyDescent="0.35">
      <c r="C3" s="57" t="s">
        <v>0</v>
      </c>
      <c r="D3" s="58"/>
      <c r="E3" s="4"/>
      <c r="F3" s="4"/>
      <c r="G3" s="4"/>
      <c r="H3" s="4"/>
      <c r="I3" s="4"/>
      <c r="J3" s="4"/>
    </row>
    <row r="4" spans="3:14" ht="32.25" customHeight="1" thickBot="1" x14ac:dyDescent="0.35">
      <c r="C4" s="59" t="s">
        <v>1</v>
      </c>
      <c r="D4" s="60"/>
      <c r="E4" s="67" t="s">
        <v>2</v>
      </c>
      <c r="F4" s="67" t="s">
        <v>3</v>
      </c>
      <c r="G4" s="67" t="s">
        <v>159</v>
      </c>
      <c r="H4" s="6" t="s">
        <v>4</v>
      </c>
      <c r="I4" s="7" t="s">
        <v>5</v>
      </c>
      <c r="J4" s="82" t="s">
        <v>6</v>
      </c>
      <c r="L4" s="74"/>
    </row>
    <row r="5" spans="3:14" ht="0.75" customHeight="1" x14ac:dyDescent="0.3">
      <c r="C5" s="8" t="s">
        <v>7</v>
      </c>
      <c r="D5" s="9" t="e">
        <f>+J5</f>
        <v>#REF!</v>
      </c>
      <c r="E5" s="68"/>
      <c r="F5" s="68"/>
      <c r="G5" s="65"/>
      <c r="H5" s="11"/>
      <c r="I5" s="12"/>
      <c r="J5" s="66" t="e">
        <f>SUM(#REF!)</f>
        <v>#REF!</v>
      </c>
    </row>
    <row r="6" spans="3:14" x14ac:dyDescent="0.3">
      <c r="C6" s="14" t="s">
        <v>8</v>
      </c>
      <c r="D6" s="15">
        <f>+E6+F6+H6+I6</f>
        <v>27665</v>
      </c>
      <c r="E6" s="10">
        <v>9310</v>
      </c>
      <c r="F6" s="32">
        <v>9000</v>
      </c>
      <c r="G6" s="32">
        <v>9355</v>
      </c>
      <c r="H6" s="32">
        <v>9355</v>
      </c>
      <c r="I6" s="32"/>
      <c r="J6" s="32">
        <f>E6+F6+G6</f>
        <v>27665</v>
      </c>
    </row>
    <row r="7" spans="3:14" x14ac:dyDescent="0.3">
      <c r="C7" s="14" t="s">
        <v>9</v>
      </c>
      <c r="D7" s="15">
        <f t="shared" ref="D7:D23" si="0">+E7+F7+H7+I7</f>
        <v>18365</v>
      </c>
      <c r="E7" s="10">
        <v>0</v>
      </c>
      <c r="F7" s="32">
        <v>9000</v>
      </c>
      <c r="G7" s="32">
        <v>9365</v>
      </c>
      <c r="H7" s="32">
        <v>9365</v>
      </c>
      <c r="I7" s="32"/>
      <c r="J7" s="32">
        <f t="shared" ref="J7:J23" si="1">E7+F7+G7</f>
        <v>18365</v>
      </c>
    </row>
    <row r="8" spans="3:14" x14ac:dyDescent="0.3">
      <c r="C8" s="14" t="s">
        <v>10</v>
      </c>
      <c r="D8" s="15">
        <f t="shared" si="0"/>
        <v>9310</v>
      </c>
      <c r="E8" s="10">
        <v>9310</v>
      </c>
      <c r="F8" s="32">
        <v>0</v>
      </c>
      <c r="G8" s="32"/>
      <c r="H8" s="32"/>
      <c r="I8" s="32"/>
      <c r="J8" s="32">
        <f t="shared" si="1"/>
        <v>9310</v>
      </c>
    </row>
    <row r="9" spans="3:14" x14ac:dyDescent="0.3">
      <c r="C9" s="14" t="s">
        <v>11</v>
      </c>
      <c r="D9" s="15">
        <f t="shared" si="0"/>
        <v>105537</v>
      </c>
      <c r="E9" s="10">
        <v>17905</v>
      </c>
      <c r="F9" s="32">
        <v>7820</v>
      </c>
      <c r="G9" s="32">
        <v>79812</v>
      </c>
      <c r="H9" s="32">
        <v>79812</v>
      </c>
      <c r="I9" s="32"/>
      <c r="J9" s="32">
        <f t="shared" si="1"/>
        <v>105537</v>
      </c>
    </row>
    <row r="10" spans="3:14" x14ac:dyDescent="0.3">
      <c r="C10" s="14" t="s">
        <v>12</v>
      </c>
      <c r="D10" s="15">
        <f t="shared" si="0"/>
        <v>52680</v>
      </c>
      <c r="E10" s="10"/>
      <c r="F10" s="32"/>
      <c r="G10" s="32">
        <v>52680</v>
      </c>
      <c r="H10" s="32">
        <v>52680</v>
      </c>
      <c r="I10" s="32"/>
      <c r="J10" s="32">
        <f t="shared" si="1"/>
        <v>52680</v>
      </c>
    </row>
    <row r="11" spans="3:14" x14ac:dyDescent="0.3">
      <c r="C11" s="14" t="s">
        <v>13</v>
      </c>
      <c r="D11" s="15">
        <f t="shared" si="0"/>
        <v>42315</v>
      </c>
      <c r="E11" s="10">
        <v>16810</v>
      </c>
      <c r="F11" s="32">
        <v>10000</v>
      </c>
      <c r="G11" s="32">
        <v>15505</v>
      </c>
      <c r="H11" s="32">
        <v>15505</v>
      </c>
      <c r="I11" s="32"/>
      <c r="J11" s="32">
        <f t="shared" si="1"/>
        <v>42315</v>
      </c>
      <c r="L11" s="90" t="s">
        <v>2</v>
      </c>
      <c r="M11" s="90" t="s">
        <v>3</v>
      </c>
      <c r="N11" s="90" t="s">
        <v>159</v>
      </c>
    </row>
    <row r="12" spans="3:14" ht="13.5" customHeight="1" x14ac:dyDescent="0.3">
      <c r="C12" s="14" t="s">
        <v>14</v>
      </c>
      <c r="D12" s="15">
        <f t="shared" si="0"/>
        <v>84120</v>
      </c>
      <c r="E12" s="10">
        <v>25530</v>
      </c>
      <c r="F12" s="32">
        <v>23990</v>
      </c>
      <c r="G12" s="32">
        <v>34600</v>
      </c>
      <c r="H12" s="32">
        <v>34600</v>
      </c>
      <c r="I12" s="32"/>
      <c r="J12" s="32">
        <f t="shared" si="1"/>
        <v>84120</v>
      </c>
      <c r="L12" s="91">
        <f>E24+E42+E156</f>
        <v>4198059</v>
      </c>
      <c r="M12" s="92">
        <f>F24+F42+F156</f>
        <v>3589179</v>
      </c>
      <c r="N12" s="92">
        <f>G24+G42+G156</f>
        <v>22076819</v>
      </c>
    </row>
    <row r="13" spans="3:14" x14ac:dyDescent="0.3">
      <c r="C13" s="14" t="s">
        <v>15</v>
      </c>
      <c r="D13" s="15">
        <f t="shared" si="0"/>
        <v>82655</v>
      </c>
      <c r="E13" s="10">
        <v>15540</v>
      </c>
      <c r="F13" s="32">
        <v>23240</v>
      </c>
      <c r="G13" s="32">
        <v>43875</v>
      </c>
      <c r="H13" s="32">
        <v>43875</v>
      </c>
      <c r="I13" s="32"/>
      <c r="J13" s="32">
        <f t="shared" si="1"/>
        <v>82655</v>
      </c>
    </row>
    <row r="14" spans="3:14" x14ac:dyDescent="0.3">
      <c r="C14" s="14" t="s">
        <v>16</v>
      </c>
      <c r="D14" s="15">
        <f t="shared" si="0"/>
        <v>106688</v>
      </c>
      <c r="E14" s="10">
        <v>15925</v>
      </c>
      <c r="F14" s="32">
        <v>15912</v>
      </c>
      <c r="G14" s="32">
        <v>74851</v>
      </c>
      <c r="H14" s="32">
        <v>74851</v>
      </c>
      <c r="I14" s="32"/>
      <c r="J14" s="32">
        <f t="shared" si="1"/>
        <v>106688</v>
      </c>
    </row>
    <row r="15" spans="3:14" x14ac:dyDescent="0.3">
      <c r="C15" s="14" t="s">
        <v>17</v>
      </c>
      <c r="D15" s="15">
        <f t="shared" si="0"/>
        <v>14560</v>
      </c>
      <c r="E15" s="10">
        <v>10985</v>
      </c>
      <c r="F15" s="32">
        <v>3575</v>
      </c>
      <c r="G15" s="32"/>
      <c r="H15" s="32"/>
      <c r="I15" s="32"/>
      <c r="J15" s="32">
        <f t="shared" si="1"/>
        <v>14560</v>
      </c>
    </row>
    <row r="16" spans="3:14" x14ac:dyDescent="0.3">
      <c r="C16" s="14" t="s">
        <v>18</v>
      </c>
      <c r="D16" s="15">
        <f t="shared" si="0"/>
        <v>56624</v>
      </c>
      <c r="E16" s="10">
        <v>16285</v>
      </c>
      <c r="F16" s="32">
        <v>9665</v>
      </c>
      <c r="G16" s="32">
        <v>30674</v>
      </c>
      <c r="H16" s="32">
        <v>30674</v>
      </c>
      <c r="I16" s="32"/>
      <c r="J16" s="32">
        <f t="shared" si="1"/>
        <v>56624</v>
      </c>
    </row>
    <row r="17" spans="3:12" x14ac:dyDescent="0.3">
      <c r="C17" s="14" t="s">
        <v>19</v>
      </c>
      <c r="D17" s="15">
        <f t="shared" si="0"/>
        <v>104632</v>
      </c>
      <c r="E17" s="10">
        <v>22452</v>
      </c>
      <c r="F17" s="32">
        <v>19720</v>
      </c>
      <c r="G17" s="32">
        <v>62460</v>
      </c>
      <c r="H17" s="32">
        <v>62460</v>
      </c>
      <c r="I17" s="32"/>
      <c r="J17" s="32">
        <f t="shared" si="1"/>
        <v>104632</v>
      </c>
    </row>
    <row r="18" spans="3:12" x14ac:dyDescent="0.3">
      <c r="C18" s="14" t="s">
        <v>20</v>
      </c>
      <c r="D18" s="15">
        <f t="shared" si="0"/>
        <v>101493</v>
      </c>
      <c r="E18" s="10">
        <v>13677</v>
      </c>
      <c r="F18" s="32">
        <v>15374</v>
      </c>
      <c r="G18" s="32">
        <v>72442</v>
      </c>
      <c r="H18" s="32">
        <v>72442</v>
      </c>
      <c r="I18" s="32"/>
      <c r="J18" s="32">
        <f t="shared" si="1"/>
        <v>101493</v>
      </c>
    </row>
    <row r="19" spans="3:12" x14ac:dyDescent="0.3">
      <c r="C19" s="14" t="s">
        <v>21</v>
      </c>
      <c r="D19" s="15">
        <f t="shared" si="0"/>
        <v>79745</v>
      </c>
      <c r="E19" s="10">
        <v>17568</v>
      </c>
      <c r="F19" s="32">
        <v>10487</v>
      </c>
      <c r="G19" s="32">
        <v>51690</v>
      </c>
      <c r="H19" s="32">
        <v>51690</v>
      </c>
      <c r="I19" s="32"/>
      <c r="J19" s="32">
        <f t="shared" si="1"/>
        <v>79745</v>
      </c>
    </row>
    <row r="20" spans="3:12" x14ac:dyDescent="0.3">
      <c r="C20" s="14" t="s">
        <v>22</v>
      </c>
      <c r="D20" s="15">
        <f t="shared" si="0"/>
        <v>70675</v>
      </c>
      <c r="E20" s="10">
        <v>0</v>
      </c>
      <c r="F20" s="32">
        <v>13350</v>
      </c>
      <c r="G20" s="32">
        <v>57325</v>
      </c>
      <c r="H20" s="32">
        <v>57325</v>
      </c>
      <c r="I20" s="32"/>
      <c r="J20" s="32">
        <f t="shared" si="1"/>
        <v>70675</v>
      </c>
    </row>
    <row r="21" spans="3:12" x14ac:dyDescent="0.3">
      <c r="C21" s="14" t="s">
        <v>23</v>
      </c>
      <c r="D21" s="15">
        <f t="shared" si="0"/>
        <v>223083</v>
      </c>
      <c r="E21" s="93">
        <v>73437</v>
      </c>
      <c r="F21" s="94">
        <v>70922</v>
      </c>
      <c r="G21" s="94">
        <v>78724</v>
      </c>
      <c r="H21" s="83">
        <v>78724</v>
      </c>
      <c r="I21" s="83"/>
      <c r="J21" s="32">
        <f t="shared" si="1"/>
        <v>223083</v>
      </c>
    </row>
    <row r="22" spans="3:12" x14ac:dyDescent="0.3">
      <c r="C22" s="14" t="s">
        <v>24</v>
      </c>
      <c r="D22" s="15">
        <f t="shared" si="0"/>
        <v>95248</v>
      </c>
      <c r="E22" s="10">
        <v>25950</v>
      </c>
      <c r="F22" s="32">
        <v>16826</v>
      </c>
      <c r="G22" s="32">
        <v>52472</v>
      </c>
      <c r="H22" s="32">
        <v>52472</v>
      </c>
      <c r="I22" s="32"/>
      <c r="J22" s="32">
        <f t="shared" si="1"/>
        <v>95248</v>
      </c>
    </row>
    <row r="23" spans="3:12" ht="15" thickBot="1" x14ac:dyDescent="0.35">
      <c r="C23" s="14" t="s">
        <v>25</v>
      </c>
      <c r="D23" s="15">
        <f t="shared" si="0"/>
        <v>45467</v>
      </c>
      <c r="E23" s="10">
        <v>10850</v>
      </c>
      <c r="F23" s="32">
        <v>9877</v>
      </c>
      <c r="G23" s="32">
        <v>24740</v>
      </c>
      <c r="H23" s="32">
        <v>24740</v>
      </c>
      <c r="I23" s="32"/>
      <c r="J23" s="32">
        <f t="shared" si="1"/>
        <v>45467</v>
      </c>
      <c r="K23" s="75"/>
    </row>
    <row r="24" spans="3:12" ht="15" thickBot="1" x14ac:dyDescent="0.35">
      <c r="C24" s="18" t="s">
        <v>26</v>
      </c>
      <c r="D24" s="19">
        <f>SUM(D6:D23)</f>
        <v>1320862</v>
      </c>
      <c r="E24" s="20">
        <f>SUM(E6:E23)</f>
        <v>301534</v>
      </c>
      <c r="F24" s="21">
        <f>SUM(F6:F23)</f>
        <v>268758</v>
      </c>
      <c r="G24" s="21">
        <f>SUM(G6:G23)</f>
        <v>750570</v>
      </c>
      <c r="H24" s="22">
        <f>SUM(H6:H23)</f>
        <v>750570</v>
      </c>
      <c r="I24" s="69"/>
      <c r="J24" s="20">
        <f>SUM(J6:J23)</f>
        <v>1320862</v>
      </c>
      <c r="L24" s="76"/>
    </row>
    <row r="25" spans="3:12" ht="36.75" customHeight="1" x14ac:dyDescent="0.3">
      <c r="C25" s="61" t="s">
        <v>27</v>
      </c>
      <c r="D25" s="62"/>
      <c r="E25" s="5" t="s">
        <v>2</v>
      </c>
      <c r="F25" s="84" t="s">
        <v>3</v>
      </c>
      <c r="G25" s="85" t="s">
        <v>159</v>
      </c>
      <c r="H25" s="86" t="s">
        <v>4</v>
      </c>
      <c r="I25" s="87" t="s">
        <v>5</v>
      </c>
      <c r="J25" s="85" t="s">
        <v>6</v>
      </c>
    </row>
    <row r="26" spans="3:12" x14ac:dyDescent="0.3">
      <c r="C26" s="26" t="s">
        <v>28</v>
      </c>
      <c r="D26" s="25">
        <f>+E26+F26+H26+I26</f>
        <v>19000</v>
      </c>
      <c r="E26" s="54">
        <v>6400</v>
      </c>
      <c r="F26" s="32">
        <v>6800</v>
      </c>
      <c r="G26" s="32">
        <v>5800</v>
      </c>
      <c r="H26" s="32">
        <v>5800</v>
      </c>
      <c r="I26" s="32"/>
      <c r="J26" s="32">
        <f>+I26+H26+F26+E26</f>
        <v>19000</v>
      </c>
    </row>
    <row r="27" spans="3:12" x14ac:dyDescent="0.3">
      <c r="C27" s="26" t="s">
        <v>29</v>
      </c>
      <c r="D27" s="25">
        <f t="shared" ref="D27:D41" si="2">+E27+F27+H27+I27</f>
        <v>30300</v>
      </c>
      <c r="E27" s="54">
        <v>9600</v>
      </c>
      <c r="F27" s="32">
        <v>11700</v>
      </c>
      <c r="G27" s="32">
        <v>9000</v>
      </c>
      <c r="H27" s="32">
        <v>9000</v>
      </c>
      <c r="I27" s="32"/>
      <c r="J27" s="32">
        <f t="shared" ref="J27:J41" si="3">+I27+H27+F27+E27</f>
        <v>30300</v>
      </c>
    </row>
    <row r="28" spans="3:12" x14ac:dyDescent="0.3">
      <c r="C28" s="26" t="s">
        <v>30</v>
      </c>
      <c r="D28" s="25">
        <f t="shared" si="2"/>
        <v>24800</v>
      </c>
      <c r="E28" s="54">
        <v>9200</v>
      </c>
      <c r="F28" s="32">
        <v>7200</v>
      </c>
      <c r="G28" s="32">
        <v>8400</v>
      </c>
      <c r="H28" s="32">
        <v>8400</v>
      </c>
      <c r="I28" s="32"/>
      <c r="J28" s="32">
        <f t="shared" si="3"/>
        <v>24800</v>
      </c>
    </row>
    <row r="29" spans="3:12" x14ac:dyDescent="0.3">
      <c r="C29" s="26" t="s">
        <v>31</v>
      </c>
      <c r="D29" s="25">
        <f t="shared" si="2"/>
        <v>31000</v>
      </c>
      <c r="E29" s="54">
        <v>11500</v>
      </c>
      <c r="F29" s="32">
        <v>9500</v>
      </c>
      <c r="G29" s="32">
        <v>10000</v>
      </c>
      <c r="H29" s="32">
        <v>10000</v>
      </c>
      <c r="I29" s="32"/>
      <c r="J29" s="32">
        <f t="shared" si="3"/>
        <v>31000</v>
      </c>
    </row>
    <row r="30" spans="3:12" x14ac:dyDescent="0.3">
      <c r="C30" s="26" t="s">
        <v>32</v>
      </c>
      <c r="D30" s="25">
        <f t="shared" si="2"/>
        <v>29858</v>
      </c>
      <c r="E30" s="54">
        <v>11313</v>
      </c>
      <c r="F30" s="32">
        <v>9044</v>
      </c>
      <c r="G30" s="32">
        <v>9501</v>
      </c>
      <c r="H30" s="32">
        <v>9501</v>
      </c>
      <c r="I30" s="32"/>
      <c r="J30" s="32">
        <f t="shared" si="3"/>
        <v>29858</v>
      </c>
    </row>
    <row r="31" spans="3:12" x14ac:dyDescent="0.3">
      <c r="C31" s="26" t="s">
        <v>33</v>
      </c>
      <c r="D31" s="25">
        <f t="shared" si="2"/>
        <v>12200</v>
      </c>
      <c r="E31" s="54">
        <v>3800</v>
      </c>
      <c r="F31" s="32">
        <v>3800</v>
      </c>
      <c r="G31" s="32">
        <v>4600</v>
      </c>
      <c r="H31" s="32">
        <v>4600</v>
      </c>
      <c r="I31" s="32"/>
      <c r="J31" s="32">
        <f t="shared" si="3"/>
        <v>12200</v>
      </c>
    </row>
    <row r="32" spans="3:12" x14ac:dyDescent="0.3">
      <c r="C32" s="26" t="s">
        <v>34</v>
      </c>
      <c r="D32" s="25">
        <f t="shared" si="2"/>
        <v>23635</v>
      </c>
      <c r="E32" s="54">
        <v>8625</v>
      </c>
      <c r="F32" s="32">
        <v>7125</v>
      </c>
      <c r="G32" s="32">
        <v>7885</v>
      </c>
      <c r="H32" s="32">
        <v>7885</v>
      </c>
      <c r="I32" s="32"/>
      <c r="J32" s="32">
        <f t="shared" si="3"/>
        <v>23635</v>
      </c>
    </row>
    <row r="33" spans="2:14" x14ac:dyDescent="0.3">
      <c r="C33" s="26" t="s">
        <v>35</v>
      </c>
      <c r="D33" s="25">
        <f t="shared" si="2"/>
        <v>15250</v>
      </c>
      <c r="E33" s="54">
        <v>5750</v>
      </c>
      <c r="F33" s="32">
        <v>4750</v>
      </c>
      <c r="G33" s="32">
        <v>4750</v>
      </c>
      <c r="H33" s="32">
        <v>4750</v>
      </c>
      <c r="I33" s="32"/>
      <c r="J33" s="32">
        <f t="shared" si="3"/>
        <v>15250</v>
      </c>
    </row>
    <row r="34" spans="2:14" x14ac:dyDescent="0.3">
      <c r="C34" s="26" t="s">
        <v>36</v>
      </c>
      <c r="D34" s="25">
        <f t="shared" si="2"/>
        <v>11600</v>
      </c>
      <c r="E34" s="54">
        <v>4600</v>
      </c>
      <c r="F34" s="32">
        <v>3800</v>
      </c>
      <c r="G34" s="32">
        <v>3200</v>
      </c>
      <c r="H34" s="32">
        <v>3200</v>
      </c>
      <c r="I34" s="32"/>
      <c r="J34" s="32">
        <f t="shared" si="3"/>
        <v>11600</v>
      </c>
    </row>
    <row r="35" spans="2:14" x14ac:dyDescent="0.3">
      <c r="C35" s="26" t="s">
        <v>37</v>
      </c>
      <c r="D35" s="25">
        <f t="shared" si="2"/>
        <v>23550</v>
      </c>
      <c r="E35" s="54">
        <v>5250</v>
      </c>
      <c r="F35" s="32">
        <v>4750</v>
      </c>
      <c r="G35" s="32">
        <v>13550</v>
      </c>
      <c r="H35" s="32">
        <v>2750</v>
      </c>
      <c r="I35" s="32">
        <v>10800</v>
      </c>
      <c r="J35" s="32">
        <f t="shared" si="3"/>
        <v>23550</v>
      </c>
      <c r="L35" s="77"/>
    </row>
    <row r="36" spans="2:14" x14ac:dyDescent="0.3">
      <c r="C36" s="26" t="s">
        <v>38</v>
      </c>
      <c r="D36" s="25">
        <f t="shared" si="2"/>
        <v>13475</v>
      </c>
      <c r="E36" s="54">
        <v>5345</v>
      </c>
      <c r="F36" s="32">
        <v>3880</v>
      </c>
      <c r="G36" s="32">
        <v>4250</v>
      </c>
      <c r="H36" s="32">
        <v>4250</v>
      </c>
      <c r="I36" s="32"/>
      <c r="J36" s="32">
        <f t="shared" si="3"/>
        <v>13475</v>
      </c>
    </row>
    <row r="37" spans="2:14" x14ac:dyDescent="0.3">
      <c r="C37" s="26" t="s">
        <v>39</v>
      </c>
      <c r="D37" s="25">
        <f t="shared" si="2"/>
        <v>13475</v>
      </c>
      <c r="E37" s="54">
        <v>5345</v>
      </c>
      <c r="F37" s="32">
        <v>3880</v>
      </c>
      <c r="G37" s="32">
        <v>4250</v>
      </c>
      <c r="H37" s="32">
        <v>4250</v>
      </c>
      <c r="I37" s="32"/>
      <c r="J37" s="32">
        <f t="shared" si="3"/>
        <v>13475</v>
      </c>
    </row>
    <row r="38" spans="2:14" x14ac:dyDescent="0.3">
      <c r="C38" s="26" t="s">
        <v>40</v>
      </c>
      <c r="D38" s="25">
        <f t="shared" si="2"/>
        <v>900</v>
      </c>
      <c r="E38" s="54">
        <v>900</v>
      </c>
      <c r="F38" s="32">
        <v>0</v>
      </c>
      <c r="G38" s="32">
        <v>0</v>
      </c>
      <c r="H38" s="32">
        <v>0</v>
      </c>
      <c r="I38" s="32"/>
      <c r="J38" s="32">
        <f t="shared" si="3"/>
        <v>900</v>
      </c>
      <c r="K38" s="75"/>
    </row>
    <row r="39" spans="2:14" x14ac:dyDescent="0.3">
      <c r="C39" s="26" t="s">
        <v>41</v>
      </c>
      <c r="D39" s="25">
        <f t="shared" si="2"/>
        <v>900</v>
      </c>
      <c r="E39" s="54">
        <v>900</v>
      </c>
      <c r="F39" s="32">
        <v>0</v>
      </c>
      <c r="G39" s="32">
        <v>0</v>
      </c>
      <c r="H39" s="32">
        <v>0</v>
      </c>
      <c r="I39" s="32"/>
      <c r="J39" s="32">
        <f t="shared" si="3"/>
        <v>900</v>
      </c>
    </row>
    <row r="40" spans="2:14" x14ac:dyDescent="0.3">
      <c r="C40" s="26" t="s">
        <v>42</v>
      </c>
      <c r="D40" s="25">
        <f t="shared" si="2"/>
        <v>26000</v>
      </c>
      <c r="E40" s="54">
        <v>10500</v>
      </c>
      <c r="F40" s="32">
        <v>10000</v>
      </c>
      <c r="G40" s="32">
        <v>5500</v>
      </c>
      <c r="H40" s="32">
        <v>5500</v>
      </c>
      <c r="I40" s="32"/>
      <c r="J40" s="32">
        <f t="shared" si="3"/>
        <v>26000</v>
      </c>
    </row>
    <row r="41" spans="2:14" ht="15" thickBot="1" x14ac:dyDescent="0.35">
      <c r="C41" s="27" t="s">
        <v>43</v>
      </c>
      <c r="D41" s="25">
        <f t="shared" si="2"/>
        <v>900</v>
      </c>
      <c r="E41" s="54">
        <v>900</v>
      </c>
      <c r="F41" s="32">
        <v>0</v>
      </c>
      <c r="G41" s="32">
        <v>0</v>
      </c>
      <c r="H41" s="32">
        <v>0</v>
      </c>
      <c r="I41" s="32"/>
      <c r="J41" s="32">
        <f t="shared" si="3"/>
        <v>900</v>
      </c>
    </row>
    <row r="42" spans="2:14" ht="15" thickBot="1" x14ac:dyDescent="0.35">
      <c r="C42" s="18" t="s">
        <v>44</v>
      </c>
      <c r="D42" s="28">
        <f>SUM(D26:D41)</f>
        <v>276843</v>
      </c>
      <c r="E42" s="20">
        <f>SUM(E26:E41)</f>
        <v>99928</v>
      </c>
      <c r="F42" s="20">
        <f>SUM(F26:F41)</f>
        <v>86229</v>
      </c>
      <c r="G42" s="20">
        <f>SUM(G26:G41)</f>
        <v>90686</v>
      </c>
      <c r="H42" s="95">
        <f>SUM(H26:H41)</f>
        <v>79886</v>
      </c>
      <c r="I42" s="23">
        <f>SUM(I26:I40)</f>
        <v>10800</v>
      </c>
      <c r="J42" s="24">
        <f>SUM(J26:J41)</f>
        <v>276843</v>
      </c>
      <c r="K42" s="77"/>
      <c r="L42" s="78"/>
    </row>
    <row r="43" spans="2:14" ht="31.5" customHeight="1" thickBot="1" x14ac:dyDescent="0.35">
      <c r="C43" s="59" t="s">
        <v>45</v>
      </c>
      <c r="D43" s="60"/>
      <c r="E43" s="5" t="s">
        <v>2</v>
      </c>
      <c r="F43" s="84" t="s">
        <v>3</v>
      </c>
      <c r="G43" s="84" t="s">
        <v>159</v>
      </c>
      <c r="H43" s="55" t="s">
        <v>4</v>
      </c>
      <c r="I43" s="87" t="s">
        <v>5</v>
      </c>
      <c r="J43" s="85" t="s">
        <v>6</v>
      </c>
      <c r="K43" s="77"/>
    </row>
    <row r="44" spans="2:14" x14ac:dyDescent="0.3">
      <c r="B44" s="29"/>
      <c r="C44" s="30" t="s">
        <v>46</v>
      </c>
      <c r="D44" s="17">
        <f>+J44</f>
        <v>2082134</v>
      </c>
      <c r="E44" s="32">
        <v>135765</v>
      </c>
      <c r="F44" s="32">
        <v>109765</v>
      </c>
      <c r="G44" s="32">
        <v>1836604</v>
      </c>
      <c r="H44" s="32">
        <f>3820+49870</f>
        <v>53690</v>
      </c>
      <c r="I44" s="32">
        <v>1782914</v>
      </c>
      <c r="J44" s="32">
        <f>+I44+H44+F44+E44</f>
        <v>2082134</v>
      </c>
      <c r="K44" s="79"/>
      <c r="L44" s="78"/>
    </row>
    <row r="45" spans="2:14" x14ac:dyDescent="0.3">
      <c r="B45" s="29"/>
      <c r="C45" s="35" t="s">
        <v>47</v>
      </c>
      <c r="D45" s="36">
        <f t="shared" ref="D45:D128" si="4">+J45</f>
        <v>2120142</v>
      </c>
      <c r="E45" s="32">
        <v>94475</v>
      </c>
      <c r="F45" s="32">
        <v>99370</v>
      </c>
      <c r="G45" s="32">
        <v>1926297</v>
      </c>
      <c r="H45" s="32">
        <f>1800+2075+31284</f>
        <v>35159</v>
      </c>
      <c r="I45" s="32">
        <v>1891138</v>
      </c>
      <c r="J45" s="32">
        <f t="shared" ref="J45:J108" si="5">+I45+H45+F45+E45</f>
        <v>2120142</v>
      </c>
      <c r="K45" s="79"/>
      <c r="L45" s="78"/>
    </row>
    <row r="46" spans="2:14" s="1" customFormat="1" x14ac:dyDescent="0.3">
      <c r="B46" s="29"/>
      <c r="C46" s="38" t="s">
        <v>48</v>
      </c>
      <c r="D46" s="17">
        <f t="shared" si="4"/>
        <v>2805535</v>
      </c>
      <c r="E46" s="32">
        <v>96543</v>
      </c>
      <c r="F46" s="32">
        <v>69896</v>
      </c>
      <c r="G46" s="32">
        <v>2639096</v>
      </c>
      <c r="H46" s="32">
        <f>2430+7600+22973</f>
        <v>33003</v>
      </c>
      <c r="I46" s="32">
        <v>2606093</v>
      </c>
      <c r="J46" s="32">
        <f t="shared" si="5"/>
        <v>2805535</v>
      </c>
      <c r="K46" s="79"/>
      <c r="L46" s="78"/>
      <c r="N46"/>
    </row>
    <row r="47" spans="2:14" x14ac:dyDescent="0.3">
      <c r="B47" s="29"/>
      <c r="C47" s="35" t="s">
        <v>49</v>
      </c>
      <c r="D47" s="36">
        <f t="shared" si="4"/>
        <v>1165900</v>
      </c>
      <c r="E47" s="32">
        <v>82797</v>
      </c>
      <c r="F47" s="32">
        <v>74468</v>
      </c>
      <c r="G47" s="32">
        <v>1008635</v>
      </c>
      <c r="H47" s="32">
        <f>3024+22551</f>
        <v>25575</v>
      </c>
      <c r="I47" s="32">
        <v>983060</v>
      </c>
      <c r="J47" s="32">
        <f t="shared" si="5"/>
        <v>1165900</v>
      </c>
      <c r="K47" s="79"/>
      <c r="L47" s="78"/>
    </row>
    <row r="48" spans="2:14" s="1" customFormat="1" x14ac:dyDescent="0.3">
      <c r="B48" s="29"/>
      <c r="C48" s="38" t="s">
        <v>50</v>
      </c>
      <c r="D48" s="17">
        <f t="shared" si="4"/>
        <v>955677</v>
      </c>
      <c r="E48" s="32">
        <v>68986</v>
      </c>
      <c r="F48" s="32">
        <v>62398</v>
      </c>
      <c r="G48" s="32">
        <v>824293</v>
      </c>
      <c r="H48" s="32">
        <f>559+31714</f>
        <v>32273</v>
      </c>
      <c r="I48" s="32">
        <v>792020</v>
      </c>
      <c r="J48" s="32">
        <f t="shared" si="5"/>
        <v>955677</v>
      </c>
      <c r="K48" s="79"/>
      <c r="L48" s="78"/>
      <c r="N48"/>
    </row>
    <row r="49" spans="2:14" x14ac:dyDescent="0.3">
      <c r="B49" s="29"/>
      <c r="C49" s="35" t="s">
        <v>51</v>
      </c>
      <c r="D49" s="36">
        <f t="shared" si="4"/>
        <v>1280806</v>
      </c>
      <c r="E49" s="32">
        <v>121097</v>
      </c>
      <c r="F49" s="32">
        <v>113128</v>
      </c>
      <c r="G49" s="32">
        <v>1046581</v>
      </c>
      <c r="H49" s="32">
        <f>240+662+50715</f>
        <v>51617</v>
      </c>
      <c r="I49" s="32">
        <v>994964</v>
      </c>
      <c r="J49" s="32">
        <f t="shared" si="5"/>
        <v>1280806</v>
      </c>
      <c r="K49" s="79"/>
      <c r="L49" s="78"/>
    </row>
    <row r="50" spans="2:14" x14ac:dyDescent="0.3">
      <c r="B50" s="29"/>
      <c r="C50" s="35" t="s">
        <v>52</v>
      </c>
      <c r="D50" s="36">
        <f t="shared" si="4"/>
        <v>1073221</v>
      </c>
      <c r="E50" s="32">
        <v>57164</v>
      </c>
      <c r="F50" s="32">
        <v>46933</v>
      </c>
      <c r="G50" s="32">
        <v>969124</v>
      </c>
      <c r="H50" s="32">
        <f>1242+42186</f>
        <v>43428</v>
      </c>
      <c r="I50" s="32">
        <v>925696</v>
      </c>
      <c r="J50" s="32">
        <f t="shared" si="5"/>
        <v>1073221</v>
      </c>
      <c r="K50" s="79"/>
      <c r="L50" s="78"/>
    </row>
    <row r="51" spans="2:14" x14ac:dyDescent="0.3">
      <c r="B51" s="29"/>
      <c r="C51" s="38" t="s">
        <v>53</v>
      </c>
      <c r="D51" s="17">
        <f t="shared" si="4"/>
        <v>581235</v>
      </c>
      <c r="E51" s="32">
        <v>57067</v>
      </c>
      <c r="F51" s="32">
        <v>47252</v>
      </c>
      <c r="G51" s="32">
        <v>476916</v>
      </c>
      <c r="H51" s="32">
        <f>2660+1034+38377</f>
        <v>42071</v>
      </c>
      <c r="I51" s="32">
        <v>434845</v>
      </c>
      <c r="J51" s="32">
        <f t="shared" si="5"/>
        <v>581235</v>
      </c>
      <c r="K51" s="79"/>
      <c r="L51" s="78"/>
    </row>
    <row r="52" spans="2:14" x14ac:dyDescent="0.3">
      <c r="B52" s="29"/>
      <c r="C52" s="35" t="s">
        <v>54</v>
      </c>
      <c r="D52" s="36">
        <f>+J52</f>
        <v>398794</v>
      </c>
      <c r="E52" s="32">
        <v>69184</v>
      </c>
      <c r="F52" s="32">
        <v>60090</v>
      </c>
      <c r="G52" s="32">
        <v>269520</v>
      </c>
      <c r="H52" s="32">
        <f>880+62870</f>
        <v>63750</v>
      </c>
      <c r="I52" s="32">
        <v>205770</v>
      </c>
      <c r="J52" s="32">
        <f t="shared" si="5"/>
        <v>398794</v>
      </c>
      <c r="K52" s="79"/>
      <c r="L52" s="78"/>
    </row>
    <row r="53" spans="2:14" s="1" customFormat="1" x14ac:dyDescent="0.3">
      <c r="B53" s="29"/>
      <c r="C53" s="38" t="s">
        <v>55</v>
      </c>
      <c r="D53" s="17">
        <f t="shared" si="4"/>
        <v>232999</v>
      </c>
      <c r="E53" s="32">
        <v>40350</v>
      </c>
      <c r="F53" s="32">
        <v>34457</v>
      </c>
      <c r="G53" s="32">
        <v>158192</v>
      </c>
      <c r="H53" s="32">
        <f>88+11039+276+20279</f>
        <v>31682</v>
      </c>
      <c r="I53" s="32">
        <v>126510</v>
      </c>
      <c r="J53" s="32">
        <f t="shared" si="5"/>
        <v>232999</v>
      </c>
      <c r="K53" s="79"/>
      <c r="L53" s="78"/>
      <c r="N53"/>
    </row>
    <row r="54" spans="2:14" x14ac:dyDescent="0.3">
      <c r="B54" s="29"/>
      <c r="C54" s="35" t="s">
        <v>56</v>
      </c>
      <c r="D54" s="36">
        <f t="shared" si="4"/>
        <v>200552</v>
      </c>
      <c r="E54" s="32">
        <v>102884</v>
      </c>
      <c r="F54" s="32">
        <v>97668</v>
      </c>
      <c r="G54" s="32">
        <v>0</v>
      </c>
      <c r="H54" s="32"/>
      <c r="I54" s="32"/>
      <c r="J54" s="32">
        <f t="shared" si="5"/>
        <v>200552</v>
      </c>
      <c r="K54" s="79"/>
      <c r="L54" s="78"/>
    </row>
    <row r="55" spans="2:14" x14ac:dyDescent="0.3">
      <c r="B55" s="29"/>
      <c r="C55" s="38" t="s">
        <v>57</v>
      </c>
      <c r="D55" s="17">
        <f t="shared" si="4"/>
        <v>52971</v>
      </c>
      <c r="E55" s="32">
        <v>17552</v>
      </c>
      <c r="F55" s="32">
        <v>18463</v>
      </c>
      <c r="G55" s="32">
        <v>16956</v>
      </c>
      <c r="H55" s="32">
        <f>291+16665</f>
        <v>16956</v>
      </c>
      <c r="I55" s="32">
        <v>0</v>
      </c>
      <c r="J55" s="32">
        <f t="shared" si="5"/>
        <v>52971</v>
      </c>
      <c r="K55" s="79"/>
      <c r="L55" s="78"/>
    </row>
    <row r="56" spans="2:14" x14ac:dyDescent="0.3">
      <c r="B56" s="29"/>
      <c r="C56" s="35" t="s">
        <v>58</v>
      </c>
      <c r="D56" s="36">
        <f t="shared" si="4"/>
        <v>580095</v>
      </c>
      <c r="E56" s="32">
        <v>36925</v>
      </c>
      <c r="F56" s="32">
        <v>27880</v>
      </c>
      <c r="G56" s="32">
        <v>515290</v>
      </c>
      <c r="H56" s="32">
        <f>1082+24012</f>
        <v>25094</v>
      </c>
      <c r="I56" s="32">
        <v>490196</v>
      </c>
      <c r="J56" s="32">
        <f t="shared" si="5"/>
        <v>580095</v>
      </c>
      <c r="K56" s="79"/>
      <c r="L56" s="78"/>
    </row>
    <row r="57" spans="2:14" x14ac:dyDescent="0.3">
      <c r="B57" s="29"/>
      <c r="C57" s="38" t="s">
        <v>59</v>
      </c>
      <c r="D57" s="17">
        <f t="shared" si="4"/>
        <v>118442</v>
      </c>
      <c r="E57" s="32">
        <v>20511</v>
      </c>
      <c r="F57" s="32">
        <v>15936</v>
      </c>
      <c r="G57" s="32">
        <v>81995</v>
      </c>
      <c r="H57" s="32">
        <f>694+15007</f>
        <v>15701</v>
      </c>
      <c r="I57" s="32">
        <v>66294</v>
      </c>
      <c r="J57" s="32">
        <f t="shared" si="5"/>
        <v>118442</v>
      </c>
      <c r="K57" s="79"/>
      <c r="L57" s="78"/>
    </row>
    <row r="58" spans="2:14" x14ac:dyDescent="0.3">
      <c r="B58" s="29"/>
      <c r="C58" s="35" t="s">
        <v>60</v>
      </c>
      <c r="D58" s="36">
        <f>+J58</f>
        <v>116843</v>
      </c>
      <c r="E58" s="32">
        <v>24127</v>
      </c>
      <c r="F58" s="32">
        <v>20174</v>
      </c>
      <c r="G58" s="32">
        <v>72542</v>
      </c>
      <c r="H58" s="32">
        <f>396+16136</f>
        <v>16532</v>
      </c>
      <c r="I58" s="32">
        <v>56010</v>
      </c>
      <c r="J58" s="32">
        <f t="shared" si="5"/>
        <v>116843</v>
      </c>
      <c r="K58" s="79"/>
      <c r="L58" s="78"/>
    </row>
    <row r="59" spans="2:14" x14ac:dyDescent="0.3">
      <c r="B59" s="29"/>
      <c r="C59" s="35" t="s">
        <v>61</v>
      </c>
      <c r="D59" s="36">
        <f>+J59</f>
        <v>56135</v>
      </c>
      <c r="E59" s="32">
        <v>13700</v>
      </c>
      <c r="F59" s="32">
        <v>11265</v>
      </c>
      <c r="G59" s="32">
        <v>31170</v>
      </c>
      <c r="H59" s="32">
        <f>400+7190</f>
        <v>7590</v>
      </c>
      <c r="I59" s="32">
        <v>23580</v>
      </c>
      <c r="J59" s="32">
        <f t="shared" si="5"/>
        <v>56135</v>
      </c>
      <c r="K59" s="79"/>
      <c r="L59" s="78"/>
    </row>
    <row r="60" spans="2:14" s="1" customFormat="1" x14ac:dyDescent="0.3">
      <c r="B60" s="29"/>
      <c r="C60" s="38" t="s">
        <v>62</v>
      </c>
      <c r="D60" s="17">
        <f t="shared" si="4"/>
        <v>109628</v>
      </c>
      <c r="E60" s="32">
        <v>22279</v>
      </c>
      <c r="F60" s="32">
        <v>25856</v>
      </c>
      <c r="G60" s="32">
        <v>61493</v>
      </c>
      <c r="H60" s="32">
        <f>285+15193</f>
        <v>15478</v>
      </c>
      <c r="I60" s="32">
        <v>46015</v>
      </c>
      <c r="J60" s="32">
        <f t="shared" si="5"/>
        <v>109628</v>
      </c>
      <c r="K60" s="79"/>
      <c r="L60" s="78"/>
      <c r="N60"/>
    </row>
    <row r="61" spans="2:14" x14ac:dyDescent="0.3">
      <c r="B61" s="29"/>
      <c r="C61" s="35" t="s">
        <v>63</v>
      </c>
      <c r="D61" s="36">
        <f t="shared" si="4"/>
        <v>111421</v>
      </c>
      <c r="E61" s="32">
        <v>20446</v>
      </c>
      <c r="F61" s="32">
        <v>16453</v>
      </c>
      <c r="G61" s="32">
        <v>74522</v>
      </c>
      <c r="H61" s="32">
        <f>260+11307</f>
        <v>11567</v>
      </c>
      <c r="I61" s="32">
        <v>62955</v>
      </c>
      <c r="J61" s="32">
        <f t="shared" si="5"/>
        <v>111421</v>
      </c>
      <c r="K61" s="79"/>
      <c r="L61" s="78"/>
    </row>
    <row r="62" spans="2:14" x14ac:dyDescent="0.3">
      <c r="B62" s="29"/>
      <c r="C62" s="38" t="s">
        <v>64</v>
      </c>
      <c r="D62" s="17">
        <f t="shared" si="4"/>
        <v>173056</v>
      </c>
      <c r="E62" s="32">
        <v>23734</v>
      </c>
      <c r="F62" s="32">
        <v>18551</v>
      </c>
      <c r="G62" s="32">
        <v>130771</v>
      </c>
      <c r="H62" s="32">
        <f>239+12048</f>
        <v>12287</v>
      </c>
      <c r="I62" s="32">
        <v>118484</v>
      </c>
      <c r="J62" s="32">
        <f t="shared" si="5"/>
        <v>173056</v>
      </c>
      <c r="K62" s="79"/>
      <c r="L62" s="78"/>
    </row>
    <row r="63" spans="2:14" x14ac:dyDescent="0.3">
      <c r="B63" s="29"/>
      <c r="C63" s="35" t="s">
        <v>65</v>
      </c>
      <c r="D63" s="36">
        <f t="shared" si="4"/>
        <v>186873</v>
      </c>
      <c r="E63" s="32">
        <v>28571</v>
      </c>
      <c r="F63" s="32">
        <v>25027</v>
      </c>
      <c r="G63" s="32">
        <v>133275</v>
      </c>
      <c r="H63" s="32">
        <f>304+22231</f>
        <v>22535</v>
      </c>
      <c r="I63" s="32">
        <v>110740</v>
      </c>
      <c r="J63" s="32">
        <f t="shared" si="5"/>
        <v>186873</v>
      </c>
      <c r="K63" s="79"/>
      <c r="L63" s="78"/>
    </row>
    <row r="64" spans="2:14" x14ac:dyDescent="0.3">
      <c r="B64" s="29"/>
      <c r="C64" s="35" t="s">
        <v>66</v>
      </c>
      <c r="D64" s="36">
        <f t="shared" si="4"/>
        <v>310768</v>
      </c>
      <c r="E64" s="32">
        <v>39741</v>
      </c>
      <c r="F64" s="32">
        <v>32898</v>
      </c>
      <c r="G64" s="32">
        <v>238129</v>
      </c>
      <c r="H64" s="32">
        <f>324+45265</f>
        <v>45589</v>
      </c>
      <c r="I64" s="32">
        <v>192540</v>
      </c>
      <c r="J64" s="32">
        <f t="shared" si="5"/>
        <v>310768</v>
      </c>
      <c r="K64" s="79"/>
      <c r="L64" s="78"/>
    </row>
    <row r="65" spans="2:14" s="1" customFormat="1" x14ac:dyDescent="0.3">
      <c r="B65" s="29"/>
      <c r="C65" s="38" t="s">
        <v>67</v>
      </c>
      <c r="D65" s="17">
        <f t="shared" si="4"/>
        <v>427968</v>
      </c>
      <c r="E65" s="32">
        <v>53662</v>
      </c>
      <c r="F65" s="32">
        <v>35796</v>
      </c>
      <c r="G65" s="32">
        <v>338510</v>
      </c>
      <c r="H65" s="32">
        <f>450+582+26438</f>
        <v>27470</v>
      </c>
      <c r="I65" s="32">
        <v>311040</v>
      </c>
      <c r="J65" s="32">
        <f t="shared" si="5"/>
        <v>427968</v>
      </c>
      <c r="K65" s="79"/>
      <c r="L65" s="78"/>
      <c r="N65"/>
    </row>
    <row r="66" spans="2:14" x14ac:dyDescent="0.3">
      <c r="B66" s="29"/>
      <c r="C66" s="35" t="s">
        <v>68</v>
      </c>
      <c r="D66" s="36">
        <f t="shared" si="4"/>
        <v>755335</v>
      </c>
      <c r="E66" s="32">
        <v>47971</v>
      </c>
      <c r="F66" s="32">
        <v>39671</v>
      </c>
      <c r="G66" s="32">
        <v>667693</v>
      </c>
      <c r="H66" s="32">
        <f>156+38044</f>
        <v>38200</v>
      </c>
      <c r="I66" s="32">
        <v>629493</v>
      </c>
      <c r="J66" s="32">
        <f t="shared" si="5"/>
        <v>755335</v>
      </c>
      <c r="K66" s="79"/>
      <c r="L66" s="78"/>
    </row>
    <row r="67" spans="2:14" s="1" customFormat="1" x14ac:dyDescent="0.3">
      <c r="B67" s="29"/>
      <c r="C67" s="38" t="s">
        <v>69</v>
      </c>
      <c r="D67" s="17">
        <f>+J67</f>
        <v>174719</v>
      </c>
      <c r="E67" s="32">
        <v>28253</v>
      </c>
      <c r="F67" s="32">
        <v>25005</v>
      </c>
      <c r="G67" s="32">
        <v>121461</v>
      </c>
      <c r="H67" s="32">
        <f>598+20001</f>
        <v>20599</v>
      </c>
      <c r="I67" s="32">
        <v>100862</v>
      </c>
      <c r="J67" s="32">
        <f t="shared" si="5"/>
        <v>174719</v>
      </c>
      <c r="K67" s="79"/>
      <c r="L67" s="78"/>
      <c r="N67"/>
    </row>
    <row r="68" spans="2:14" s="1" customFormat="1" x14ac:dyDescent="0.3">
      <c r="B68" s="29"/>
      <c r="C68" s="35" t="s">
        <v>70</v>
      </c>
      <c r="D68" s="36">
        <f t="shared" ref="D68" si="6">+J68</f>
        <v>214128</v>
      </c>
      <c r="E68" s="32">
        <v>16083</v>
      </c>
      <c r="F68" s="32">
        <v>12945</v>
      </c>
      <c r="G68" s="32">
        <v>185100</v>
      </c>
      <c r="H68" s="32">
        <f>284+9720</f>
        <v>10004</v>
      </c>
      <c r="I68" s="32">
        <v>175096</v>
      </c>
      <c r="J68" s="32">
        <f t="shared" si="5"/>
        <v>214128</v>
      </c>
      <c r="K68" s="79"/>
      <c r="L68" s="78"/>
      <c r="N68"/>
    </row>
    <row r="69" spans="2:14" s="1" customFormat="1" x14ac:dyDescent="0.3">
      <c r="B69" s="29"/>
      <c r="C69" s="38" t="s">
        <v>71</v>
      </c>
      <c r="D69" s="17">
        <f t="shared" si="4"/>
        <v>190823</v>
      </c>
      <c r="E69" s="32">
        <v>42902</v>
      </c>
      <c r="F69" s="32">
        <v>35293</v>
      </c>
      <c r="G69" s="32">
        <v>112628</v>
      </c>
      <c r="H69" s="32">
        <f>2750+286+35140</f>
        <v>38176</v>
      </c>
      <c r="I69" s="32">
        <v>74452</v>
      </c>
      <c r="J69" s="32">
        <f t="shared" si="5"/>
        <v>190823</v>
      </c>
      <c r="K69" s="79"/>
      <c r="L69" s="78"/>
      <c r="N69"/>
    </row>
    <row r="70" spans="2:14" s="1" customFormat="1" x14ac:dyDescent="0.3">
      <c r="B70" s="29"/>
      <c r="C70" s="35" t="s">
        <v>72</v>
      </c>
      <c r="D70" s="36">
        <f t="shared" si="4"/>
        <v>269904</v>
      </c>
      <c r="E70" s="32">
        <v>52921</v>
      </c>
      <c r="F70" s="32">
        <v>43246</v>
      </c>
      <c r="G70" s="32">
        <v>173737</v>
      </c>
      <c r="H70" s="32">
        <f>300+41006</f>
        <v>41306</v>
      </c>
      <c r="I70" s="32">
        <v>132431</v>
      </c>
      <c r="J70" s="32">
        <f t="shared" si="5"/>
        <v>269904</v>
      </c>
      <c r="K70" s="79"/>
      <c r="L70" s="78"/>
      <c r="N70"/>
    </row>
    <row r="71" spans="2:14" s="1" customFormat="1" x14ac:dyDescent="0.3">
      <c r="B71" s="29"/>
      <c r="C71" s="38" t="s">
        <v>73</v>
      </c>
      <c r="D71" s="17">
        <f>+J71</f>
        <v>55036</v>
      </c>
      <c r="E71" s="32">
        <v>15213</v>
      </c>
      <c r="F71" s="32">
        <v>12641</v>
      </c>
      <c r="G71" s="32">
        <v>27182</v>
      </c>
      <c r="H71" s="32">
        <f>198+12494</f>
        <v>12692</v>
      </c>
      <c r="I71" s="32">
        <v>14490</v>
      </c>
      <c r="J71" s="32">
        <f t="shared" si="5"/>
        <v>55036</v>
      </c>
      <c r="K71" s="79"/>
      <c r="L71" s="78"/>
      <c r="N71"/>
    </row>
    <row r="72" spans="2:14" s="1" customFormat="1" x14ac:dyDescent="0.3">
      <c r="B72" s="29"/>
      <c r="C72" s="35" t="s">
        <v>74</v>
      </c>
      <c r="D72" s="36">
        <f t="shared" si="4"/>
        <v>155837</v>
      </c>
      <c r="E72" s="32">
        <v>40500</v>
      </c>
      <c r="F72" s="32">
        <v>35513</v>
      </c>
      <c r="G72" s="32">
        <v>79824</v>
      </c>
      <c r="H72" s="32">
        <f>374+37071+379</f>
        <v>37824</v>
      </c>
      <c r="I72" s="32">
        <v>42000</v>
      </c>
      <c r="J72" s="32">
        <f t="shared" si="5"/>
        <v>155837</v>
      </c>
      <c r="K72" s="79"/>
      <c r="L72" s="78"/>
      <c r="N72"/>
    </row>
    <row r="73" spans="2:14" s="1" customFormat="1" x14ac:dyDescent="0.3">
      <c r="B73" s="29"/>
      <c r="C73" s="38" t="s">
        <v>75</v>
      </c>
      <c r="D73" s="17">
        <f t="shared" si="4"/>
        <v>80699</v>
      </c>
      <c r="E73" s="32">
        <v>20646</v>
      </c>
      <c r="F73" s="32">
        <v>17263</v>
      </c>
      <c r="G73" s="32">
        <v>42790</v>
      </c>
      <c r="H73" s="32">
        <f>218+19372</f>
        <v>19590</v>
      </c>
      <c r="I73" s="32">
        <v>23200</v>
      </c>
      <c r="J73" s="32">
        <f t="shared" si="5"/>
        <v>80699</v>
      </c>
      <c r="K73" s="79"/>
      <c r="L73" s="78"/>
      <c r="N73"/>
    </row>
    <row r="74" spans="2:14" s="1" customFormat="1" x14ac:dyDescent="0.3">
      <c r="B74" s="29"/>
      <c r="C74" s="35" t="s">
        <v>76</v>
      </c>
      <c r="D74" s="36">
        <f t="shared" si="4"/>
        <v>592520</v>
      </c>
      <c r="E74" s="32">
        <v>72840</v>
      </c>
      <c r="F74" s="32">
        <v>60820</v>
      </c>
      <c r="G74" s="32">
        <v>458860</v>
      </c>
      <c r="H74" s="32">
        <f>2850+40060+150</f>
        <v>43060</v>
      </c>
      <c r="I74" s="32">
        <v>415800</v>
      </c>
      <c r="J74" s="32">
        <f t="shared" si="5"/>
        <v>592520</v>
      </c>
      <c r="K74" s="79"/>
      <c r="L74" s="78"/>
      <c r="N74"/>
    </row>
    <row r="75" spans="2:14" s="1" customFormat="1" x14ac:dyDescent="0.3">
      <c r="B75" s="29"/>
      <c r="C75" s="38" t="s">
        <v>77</v>
      </c>
      <c r="D75" s="17">
        <f t="shared" si="4"/>
        <v>10284</v>
      </c>
      <c r="E75" s="32">
        <v>5252</v>
      </c>
      <c r="F75" s="32">
        <v>4532</v>
      </c>
      <c r="G75" s="32">
        <v>500</v>
      </c>
      <c r="H75" s="32">
        <f>33+467</f>
        <v>500</v>
      </c>
      <c r="I75" s="32">
        <v>0</v>
      </c>
      <c r="J75" s="32">
        <f t="shared" si="5"/>
        <v>10284</v>
      </c>
      <c r="K75" s="79"/>
      <c r="L75" s="78"/>
      <c r="N75"/>
    </row>
    <row r="76" spans="2:14" s="1" customFormat="1" x14ac:dyDescent="0.3">
      <c r="B76" s="29"/>
      <c r="C76" s="35" t="s">
        <v>78</v>
      </c>
      <c r="D76" s="36">
        <f t="shared" si="4"/>
        <v>81248</v>
      </c>
      <c r="E76" s="32">
        <v>21320</v>
      </c>
      <c r="F76" s="32">
        <v>16460</v>
      </c>
      <c r="G76" s="32">
        <v>43468</v>
      </c>
      <c r="H76" s="32">
        <f>285+19723</f>
        <v>20008</v>
      </c>
      <c r="I76" s="32">
        <v>23460</v>
      </c>
      <c r="J76" s="32">
        <f t="shared" si="5"/>
        <v>81248</v>
      </c>
      <c r="K76" s="79"/>
      <c r="L76" s="78"/>
      <c r="N76"/>
    </row>
    <row r="77" spans="2:14" s="1" customFormat="1" x14ac:dyDescent="0.3">
      <c r="B77" s="29"/>
      <c r="C77" s="38" t="s">
        <v>79</v>
      </c>
      <c r="D77" s="17">
        <f t="shared" si="4"/>
        <v>136168</v>
      </c>
      <c r="E77" s="32">
        <v>27737</v>
      </c>
      <c r="F77" s="32">
        <v>26422</v>
      </c>
      <c r="G77" s="32">
        <v>82009</v>
      </c>
      <c r="H77" s="32">
        <f>357+32452</f>
        <v>32809</v>
      </c>
      <c r="I77" s="32">
        <v>49200</v>
      </c>
      <c r="J77" s="32">
        <f t="shared" si="5"/>
        <v>136168</v>
      </c>
      <c r="K77" s="79"/>
      <c r="L77" s="78"/>
      <c r="N77"/>
    </row>
    <row r="78" spans="2:14" s="1" customFormat="1" x14ac:dyDescent="0.3">
      <c r="B78" s="29"/>
      <c r="C78" s="35" t="s">
        <v>80</v>
      </c>
      <c r="D78" s="36">
        <f t="shared" si="4"/>
        <v>65761</v>
      </c>
      <c r="E78" s="32">
        <v>25881</v>
      </c>
      <c r="F78" s="32">
        <v>15200</v>
      </c>
      <c r="G78" s="32">
        <v>24680</v>
      </c>
      <c r="H78" s="32">
        <f>105+19775</f>
        <v>19880</v>
      </c>
      <c r="I78" s="32">
        <v>4800</v>
      </c>
      <c r="J78" s="32">
        <f t="shared" si="5"/>
        <v>65761</v>
      </c>
      <c r="K78" s="79"/>
      <c r="L78" s="78"/>
      <c r="N78"/>
    </row>
    <row r="79" spans="2:14" s="1" customFormat="1" x14ac:dyDescent="0.3">
      <c r="B79" s="29"/>
      <c r="C79" s="38" t="s">
        <v>81</v>
      </c>
      <c r="D79" s="17">
        <f t="shared" si="4"/>
        <v>130648</v>
      </c>
      <c r="E79" s="32">
        <v>31053</v>
      </c>
      <c r="F79" s="32">
        <v>31442</v>
      </c>
      <c r="G79" s="32">
        <v>68153</v>
      </c>
      <c r="H79" s="32">
        <f>340+28303</f>
        <v>28643</v>
      </c>
      <c r="I79" s="32">
        <v>39510</v>
      </c>
      <c r="J79" s="32">
        <f t="shared" si="5"/>
        <v>130648</v>
      </c>
      <c r="K79" s="79"/>
      <c r="L79" s="78"/>
      <c r="N79"/>
    </row>
    <row r="80" spans="2:14" s="1" customFormat="1" x14ac:dyDescent="0.3">
      <c r="B80" s="29"/>
      <c r="C80" s="35" t="s">
        <v>82</v>
      </c>
      <c r="D80" s="36">
        <f t="shared" si="4"/>
        <v>151456</v>
      </c>
      <c r="E80" s="32">
        <v>45870</v>
      </c>
      <c r="F80" s="32">
        <v>42426</v>
      </c>
      <c r="G80" s="32">
        <v>63160</v>
      </c>
      <c r="H80" s="32">
        <f>507+44319</f>
        <v>44826</v>
      </c>
      <c r="I80" s="32">
        <v>18334</v>
      </c>
      <c r="J80" s="32">
        <f t="shared" si="5"/>
        <v>151456</v>
      </c>
      <c r="K80" s="79"/>
      <c r="L80" s="78"/>
      <c r="N80"/>
    </row>
    <row r="81" spans="2:14" s="1" customFormat="1" x14ac:dyDescent="0.3">
      <c r="B81" s="29"/>
      <c r="C81" s="38" t="s">
        <v>83</v>
      </c>
      <c r="D81" s="17">
        <f>+J81</f>
        <v>164507</v>
      </c>
      <c r="E81" s="32">
        <v>48692</v>
      </c>
      <c r="F81" s="32">
        <v>41145</v>
      </c>
      <c r="G81" s="32">
        <v>74670</v>
      </c>
      <c r="H81" s="32">
        <f>420+36850</f>
        <v>37270</v>
      </c>
      <c r="I81" s="32">
        <v>37400</v>
      </c>
      <c r="J81" s="32">
        <f t="shared" si="5"/>
        <v>164507</v>
      </c>
      <c r="K81" s="79"/>
      <c r="L81" s="78"/>
      <c r="N81"/>
    </row>
    <row r="82" spans="2:14" s="1" customFormat="1" x14ac:dyDescent="0.3">
      <c r="B82" s="29"/>
      <c r="C82" s="35" t="s">
        <v>84</v>
      </c>
      <c r="D82" s="36">
        <f>+J82</f>
        <v>66754</v>
      </c>
      <c r="E82" s="32">
        <v>24192</v>
      </c>
      <c r="F82" s="32">
        <v>18606</v>
      </c>
      <c r="G82" s="32">
        <v>23956</v>
      </c>
      <c r="H82" s="32">
        <f>462+21094</f>
        <v>21556</v>
      </c>
      <c r="I82" s="32">
        <v>2400</v>
      </c>
      <c r="J82" s="32">
        <f t="shared" si="5"/>
        <v>66754</v>
      </c>
      <c r="K82" s="79"/>
      <c r="L82" s="78"/>
      <c r="N82"/>
    </row>
    <row r="83" spans="2:14" s="1" customFormat="1" x14ac:dyDescent="0.3">
      <c r="B83" s="29"/>
      <c r="C83" s="38" t="s">
        <v>85</v>
      </c>
      <c r="D83" s="17">
        <f>+J83</f>
        <v>84856</v>
      </c>
      <c r="E83" s="32">
        <v>18610</v>
      </c>
      <c r="F83" s="32">
        <v>15403</v>
      </c>
      <c r="G83" s="32">
        <v>50843</v>
      </c>
      <c r="H83" s="32">
        <f>320+13519</f>
        <v>13839</v>
      </c>
      <c r="I83" s="32">
        <v>37004</v>
      </c>
      <c r="J83" s="32">
        <f t="shared" si="5"/>
        <v>84856</v>
      </c>
      <c r="K83" s="79"/>
      <c r="L83" s="78"/>
      <c r="N83"/>
    </row>
    <row r="84" spans="2:14" s="1" customFormat="1" x14ac:dyDescent="0.3">
      <c r="B84" s="29"/>
      <c r="C84" s="35" t="s">
        <v>86</v>
      </c>
      <c r="D84" s="36">
        <f>+J84</f>
        <v>67077</v>
      </c>
      <c r="E84" s="32">
        <v>16125</v>
      </c>
      <c r="F84" s="32">
        <v>13670</v>
      </c>
      <c r="G84" s="32">
        <v>37282</v>
      </c>
      <c r="H84" s="32">
        <f>200+11882</f>
        <v>12082</v>
      </c>
      <c r="I84" s="32">
        <v>25200</v>
      </c>
      <c r="J84" s="32">
        <f t="shared" si="5"/>
        <v>67077</v>
      </c>
      <c r="K84" s="79"/>
      <c r="L84" s="78"/>
      <c r="N84"/>
    </row>
    <row r="85" spans="2:14" s="1" customFormat="1" x14ac:dyDescent="0.3">
      <c r="B85" s="29"/>
      <c r="C85" s="38" t="s">
        <v>87</v>
      </c>
      <c r="D85" s="17">
        <f>+J85</f>
        <v>35116</v>
      </c>
      <c r="E85" s="32">
        <v>4413</v>
      </c>
      <c r="F85" s="32">
        <v>0</v>
      </c>
      <c r="G85" s="32">
        <v>30703</v>
      </c>
      <c r="H85" s="32">
        <f>117+8605</f>
        <v>8722</v>
      </c>
      <c r="I85" s="32">
        <v>21981</v>
      </c>
      <c r="J85" s="32">
        <f t="shared" si="5"/>
        <v>35116</v>
      </c>
      <c r="K85" s="79"/>
      <c r="L85" s="78"/>
      <c r="N85"/>
    </row>
    <row r="86" spans="2:14" s="1" customFormat="1" x14ac:dyDescent="0.3">
      <c r="B86" s="29"/>
      <c r="C86" s="35" t="s">
        <v>88</v>
      </c>
      <c r="D86" s="36">
        <f t="shared" si="4"/>
        <v>343404</v>
      </c>
      <c r="E86" s="32">
        <v>60672</v>
      </c>
      <c r="F86" s="32">
        <v>48991</v>
      </c>
      <c r="G86" s="32">
        <v>233741</v>
      </c>
      <c r="H86" s="32">
        <f>777+420+48918</f>
        <v>50115</v>
      </c>
      <c r="I86" s="32">
        <v>183626</v>
      </c>
      <c r="J86" s="32">
        <f t="shared" si="5"/>
        <v>343404</v>
      </c>
      <c r="K86" s="79"/>
      <c r="L86" s="78"/>
      <c r="N86"/>
    </row>
    <row r="87" spans="2:14" s="1" customFormat="1" ht="13.5" customHeight="1" x14ac:dyDescent="0.3">
      <c r="B87" s="29"/>
      <c r="C87" s="38" t="s">
        <v>89</v>
      </c>
      <c r="D87" s="17">
        <f t="shared" si="4"/>
        <v>15100</v>
      </c>
      <c r="E87" s="32">
        <v>6440</v>
      </c>
      <c r="F87" s="32">
        <v>8660</v>
      </c>
      <c r="G87" s="32">
        <v>0</v>
      </c>
      <c r="H87" s="32"/>
      <c r="I87" s="32"/>
      <c r="J87" s="32">
        <f t="shared" si="5"/>
        <v>15100</v>
      </c>
      <c r="K87" s="79"/>
      <c r="L87" s="78"/>
      <c r="N87"/>
    </row>
    <row r="88" spans="2:14" s="1" customFormat="1" x14ac:dyDescent="0.3">
      <c r="B88" s="29"/>
      <c r="C88" s="35" t="s">
        <v>90</v>
      </c>
      <c r="D88" s="36">
        <f t="shared" si="4"/>
        <v>26107</v>
      </c>
      <c r="E88" s="32">
        <v>9496</v>
      </c>
      <c r="F88" s="32">
        <v>8106</v>
      </c>
      <c r="G88" s="32">
        <v>8505</v>
      </c>
      <c r="H88" s="32">
        <f>168+8337</f>
        <v>8505</v>
      </c>
      <c r="I88" s="32"/>
      <c r="J88" s="32">
        <f t="shared" si="5"/>
        <v>26107</v>
      </c>
      <c r="K88" s="79"/>
      <c r="L88" s="78"/>
      <c r="N88"/>
    </row>
    <row r="89" spans="2:14" s="1" customFormat="1" x14ac:dyDescent="0.3">
      <c r="B89" s="29"/>
      <c r="C89" s="38" t="s">
        <v>91</v>
      </c>
      <c r="D89" s="17">
        <f t="shared" si="4"/>
        <v>28982</v>
      </c>
      <c r="E89" s="32">
        <v>9936</v>
      </c>
      <c r="F89" s="32">
        <v>8068</v>
      </c>
      <c r="G89" s="32">
        <v>10978</v>
      </c>
      <c r="H89" s="32">
        <f>308+8870</f>
        <v>9178</v>
      </c>
      <c r="I89" s="32">
        <v>1800</v>
      </c>
      <c r="J89" s="32">
        <f t="shared" si="5"/>
        <v>28982</v>
      </c>
      <c r="K89" s="79"/>
      <c r="L89" s="78"/>
      <c r="N89"/>
    </row>
    <row r="90" spans="2:14" s="1" customFormat="1" x14ac:dyDescent="0.3">
      <c r="B90" s="29"/>
      <c r="C90" s="35" t="s">
        <v>92</v>
      </c>
      <c r="D90" s="36">
        <f t="shared" si="4"/>
        <v>25952</v>
      </c>
      <c r="E90" s="32">
        <v>9221</v>
      </c>
      <c r="F90" s="32">
        <v>7660</v>
      </c>
      <c r="G90" s="32">
        <v>9071</v>
      </c>
      <c r="H90" s="32">
        <f>154+8917</f>
        <v>9071</v>
      </c>
      <c r="I90" s="32">
        <v>0</v>
      </c>
      <c r="J90" s="32">
        <f t="shared" si="5"/>
        <v>25952</v>
      </c>
      <c r="K90" s="79"/>
      <c r="L90" s="78"/>
      <c r="N90"/>
    </row>
    <row r="91" spans="2:14" s="1" customFormat="1" x14ac:dyDescent="0.3">
      <c r="B91" s="29"/>
      <c r="C91" s="38" t="s">
        <v>93</v>
      </c>
      <c r="D91" s="17">
        <f t="shared" si="4"/>
        <v>194756</v>
      </c>
      <c r="E91" s="32">
        <v>29704</v>
      </c>
      <c r="F91" s="32">
        <v>26570</v>
      </c>
      <c r="G91" s="32">
        <v>138482</v>
      </c>
      <c r="H91" s="32">
        <f>405+19400</f>
        <v>19805</v>
      </c>
      <c r="I91" s="32">
        <v>118677</v>
      </c>
      <c r="J91" s="32">
        <f t="shared" si="5"/>
        <v>194756</v>
      </c>
      <c r="K91" s="79"/>
      <c r="L91" s="78"/>
      <c r="N91"/>
    </row>
    <row r="92" spans="2:14" s="1" customFormat="1" x14ac:dyDescent="0.3">
      <c r="B92" s="29"/>
      <c r="C92" s="35" t="s">
        <v>94</v>
      </c>
      <c r="D92" s="36">
        <f>+J92</f>
        <v>137795</v>
      </c>
      <c r="E92" s="32">
        <v>27964</v>
      </c>
      <c r="F92" s="32">
        <v>22400</v>
      </c>
      <c r="G92" s="32">
        <v>87431</v>
      </c>
      <c r="H92" s="32">
        <f>148+15805</f>
        <v>15953</v>
      </c>
      <c r="I92" s="32">
        <v>71478</v>
      </c>
      <c r="J92" s="32">
        <f t="shared" si="5"/>
        <v>137795</v>
      </c>
      <c r="K92" s="79"/>
      <c r="L92" s="78"/>
      <c r="N92"/>
    </row>
    <row r="93" spans="2:14" s="1" customFormat="1" x14ac:dyDescent="0.3">
      <c r="B93" s="29"/>
      <c r="C93" s="38" t="s">
        <v>95</v>
      </c>
      <c r="D93" s="17">
        <f t="shared" si="4"/>
        <v>168381</v>
      </c>
      <c r="E93" s="32">
        <v>38530</v>
      </c>
      <c r="F93" s="32">
        <v>33060</v>
      </c>
      <c r="G93" s="32">
        <v>96791</v>
      </c>
      <c r="H93" s="32">
        <f>464+34649</f>
        <v>35113</v>
      </c>
      <c r="I93" s="32">
        <v>61678</v>
      </c>
      <c r="J93" s="32">
        <f t="shared" si="5"/>
        <v>168381</v>
      </c>
      <c r="K93" s="79"/>
      <c r="L93" s="78"/>
      <c r="N93"/>
    </row>
    <row r="94" spans="2:14" s="1" customFormat="1" x14ac:dyDescent="0.3">
      <c r="B94" s="29"/>
      <c r="C94" s="35" t="s">
        <v>96</v>
      </c>
      <c r="D94" s="36">
        <f t="shared" si="4"/>
        <v>181697</v>
      </c>
      <c r="E94" s="32">
        <v>34935</v>
      </c>
      <c r="F94" s="32">
        <v>31594</v>
      </c>
      <c r="G94" s="32">
        <v>115168</v>
      </c>
      <c r="H94" s="32">
        <f>1152+28469</f>
        <v>29621</v>
      </c>
      <c r="I94" s="32">
        <v>85547</v>
      </c>
      <c r="J94" s="32">
        <f t="shared" si="5"/>
        <v>181697</v>
      </c>
      <c r="K94" s="79"/>
      <c r="L94" s="78"/>
      <c r="N94"/>
    </row>
    <row r="95" spans="2:14" s="1" customFormat="1" x14ac:dyDescent="0.3">
      <c r="B95" s="29"/>
      <c r="C95" s="35" t="s">
        <v>97</v>
      </c>
      <c r="D95" s="36">
        <f t="shared" si="4"/>
        <v>166234</v>
      </c>
      <c r="E95" s="32">
        <v>37874</v>
      </c>
      <c r="F95" s="32">
        <v>31548</v>
      </c>
      <c r="G95" s="32">
        <v>96812</v>
      </c>
      <c r="H95" s="32">
        <f>770+35646</f>
        <v>36416</v>
      </c>
      <c r="I95" s="32">
        <v>60396</v>
      </c>
      <c r="J95" s="32">
        <f t="shared" si="5"/>
        <v>166234</v>
      </c>
      <c r="K95" s="79"/>
      <c r="L95" s="78"/>
      <c r="N95"/>
    </row>
    <row r="96" spans="2:14" s="1" customFormat="1" x14ac:dyDescent="0.3">
      <c r="B96" s="29"/>
      <c r="C96" s="38" t="s">
        <v>98</v>
      </c>
      <c r="D96" s="17">
        <f t="shared" si="4"/>
        <v>155156</v>
      </c>
      <c r="E96" s="32">
        <v>29096</v>
      </c>
      <c r="F96" s="32">
        <v>24658</v>
      </c>
      <c r="G96" s="32">
        <v>101402</v>
      </c>
      <c r="H96" s="32">
        <f>352+25948</f>
        <v>26300</v>
      </c>
      <c r="I96" s="32">
        <v>75102</v>
      </c>
      <c r="J96" s="32">
        <f t="shared" si="5"/>
        <v>155156</v>
      </c>
      <c r="K96" s="79"/>
      <c r="L96" s="78"/>
      <c r="N96"/>
    </row>
    <row r="97" spans="2:14" s="1" customFormat="1" x14ac:dyDescent="0.3">
      <c r="B97" s="29"/>
      <c r="C97" s="35" t="s">
        <v>99</v>
      </c>
      <c r="D97" s="36">
        <f t="shared" si="4"/>
        <v>41520</v>
      </c>
      <c r="E97" s="32">
        <v>9900</v>
      </c>
      <c r="F97" s="32">
        <v>7630</v>
      </c>
      <c r="G97" s="32">
        <v>23990</v>
      </c>
      <c r="H97" s="32">
        <f>340+7660</f>
        <v>8000</v>
      </c>
      <c r="I97" s="32">
        <v>15990</v>
      </c>
      <c r="J97" s="32">
        <f t="shared" si="5"/>
        <v>41520</v>
      </c>
      <c r="K97" s="79"/>
      <c r="L97" s="78"/>
      <c r="N97"/>
    </row>
    <row r="98" spans="2:14" s="1" customFormat="1" x14ac:dyDescent="0.3">
      <c r="B98" s="29"/>
      <c r="C98" s="38" t="s">
        <v>100</v>
      </c>
      <c r="D98" s="17">
        <f t="shared" si="4"/>
        <v>41266</v>
      </c>
      <c r="E98" s="32">
        <v>14475</v>
      </c>
      <c r="F98" s="32">
        <v>12061</v>
      </c>
      <c r="G98" s="32">
        <v>14730</v>
      </c>
      <c r="H98" s="32">
        <f>286+13244</f>
        <v>13530</v>
      </c>
      <c r="I98" s="32">
        <v>1200</v>
      </c>
      <c r="J98" s="32">
        <f t="shared" si="5"/>
        <v>41266</v>
      </c>
      <c r="K98" s="79"/>
      <c r="L98" s="78"/>
      <c r="N98"/>
    </row>
    <row r="99" spans="2:14" s="1" customFormat="1" x14ac:dyDescent="0.3">
      <c r="B99" s="29"/>
      <c r="C99" s="35" t="s">
        <v>101</v>
      </c>
      <c r="D99" s="36">
        <f t="shared" si="4"/>
        <v>46739</v>
      </c>
      <c r="E99" s="32">
        <v>13253</v>
      </c>
      <c r="F99" s="32">
        <v>11629</v>
      </c>
      <c r="G99" s="32">
        <v>21857</v>
      </c>
      <c r="H99" s="32">
        <f>433+9939</f>
        <v>10372</v>
      </c>
      <c r="I99" s="32">
        <v>11485</v>
      </c>
      <c r="J99" s="32">
        <f t="shared" si="5"/>
        <v>46739</v>
      </c>
      <c r="K99" s="79"/>
      <c r="L99" s="78"/>
      <c r="N99"/>
    </row>
    <row r="100" spans="2:14" s="1" customFormat="1" x14ac:dyDescent="0.3">
      <c r="B100" s="29"/>
      <c r="C100" s="38" t="s">
        <v>102</v>
      </c>
      <c r="D100" s="17">
        <f t="shared" si="4"/>
        <v>64212</v>
      </c>
      <c r="E100" s="32">
        <v>20642</v>
      </c>
      <c r="F100" s="32">
        <v>16141</v>
      </c>
      <c r="G100" s="32">
        <v>27429</v>
      </c>
      <c r="H100" s="32">
        <f>494+17335</f>
        <v>17829</v>
      </c>
      <c r="I100" s="32">
        <v>9600</v>
      </c>
      <c r="J100" s="32">
        <f t="shared" si="5"/>
        <v>64212</v>
      </c>
      <c r="K100" s="77"/>
      <c r="L100" s="78"/>
      <c r="N100"/>
    </row>
    <row r="101" spans="2:14" s="1" customFormat="1" x14ac:dyDescent="0.3">
      <c r="B101" s="29"/>
      <c r="C101" s="35" t="s">
        <v>103</v>
      </c>
      <c r="D101" s="36">
        <f t="shared" si="4"/>
        <v>162241</v>
      </c>
      <c r="E101" s="32">
        <v>37462</v>
      </c>
      <c r="F101" s="32">
        <v>34344</v>
      </c>
      <c r="G101" s="32">
        <v>90435</v>
      </c>
      <c r="H101" s="32">
        <f>420+29735</f>
        <v>30155</v>
      </c>
      <c r="I101" s="32">
        <v>60280</v>
      </c>
      <c r="J101" s="32">
        <f t="shared" si="5"/>
        <v>162241</v>
      </c>
      <c r="K101" s="77"/>
      <c r="L101" s="78"/>
      <c r="N101"/>
    </row>
    <row r="102" spans="2:14" s="1" customFormat="1" x14ac:dyDescent="0.3">
      <c r="B102" s="29"/>
      <c r="C102" s="38" t="s">
        <v>104</v>
      </c>
      <c r="D102" s="17">
        <f t="shared" si="4"/>
        <v>301582</v>
      </c>
      <c r="E102" s="32">
        <v>42655</v>
      </c>
      <c r="F102" s="32">
        <v>37839</v>
      </c>
      <c r="G102" s="32">
        <v>221088</v>
      </c>
      <c r="H102" s="32">
        <f>425+37493</f>
        <v>37918</v>
      </c>
      <c r="I102" s="32">
        <v>183170</v>
      </c>
      <c r="J102" s="32">
        <f t="shared" si="5"/>
        <v>301582</v>
      </c>
      <c r="K102" s="77"/>
      <c r="L102" s="78"/>
      <c r="N102"/>
    </row>
    <row r="103" spans="2:14" s="1" customFormat="1" x14ac:dyDescent="0.3">
      <c r="B103" s="29"/>
      <c r="C103" s="38" t="s">
        <v>105</v>
      </c>
      <c r="D103" s="17">
        <f>+J103</f>
        <v>6300</v>
      </c>
      <c r="E103" s="10">
        <v>2018</v>
      </c>
      <c r="F103" s="32">
        <v>3705</v>
      </c>
      <c r="G103" s="32">
        <v>577</v>
      </c>
      <c r="H103" s="32">
        <f>69+508</f>
        <v>577</v>
      </c>
      <c r="I103" s="32"/>
      <c r="J103" s="32">
        <f t="shared" si="5"/>
        <v>6300</v>
      </c>
      <c r="K103" s="77"/>
      <c r="L103" s="78"/>
      <c r="N103"/>
    </row>
    <row r="104" spans="2:14" s="1" customFormat="1" x14ac:dyDescent="0.3">
      <c r="B104" s="29"/>
      <c r="C104" s="35" t="s">
        <v>106</v>
      </c>
      <c r="D104" s="36">
        <f t="shared" si="4"/>
        <v>249710</v>
      </c>
      <c r="E104" s="32">
        <v>39695</v>
      </c>
      <c r="F104" s="32">
        <v>33294</v>
      </c>
      <c r="G104" s="32">
        <v>176721</v>
      </c>
      <c r="H104" s="32">
        <f>632+29719</f>
        <v>30351</v>
      </c>
      <c r="I104" s="32">
        <v>146370</v>
      </c>
      <c r="J104" s="32">
        <f t="shared" si="5"/>
        <v>249710</v>
      </c>
      <c r="K104" s="77"/>
      <c r="L104" s="78"/>
      <c r="N104"/>
    </row>
    <row r="105" spans="2:14" s="1" customFormat="1" x14ac:dyDescent="0.3">
      <c r="B105" s="29"/>
      <c r="C105" s="38" t="s">
        <v>107</v>
      </c>
      <c r="D105" s="17">
        <f t="shared" si="4"/>
        <v>128403</v>
      </c>
      <c r="E105" s="32">
        <v>27935</v>
      </c>
      <c r="F105" s="32">
        <v>26204</v>
      </c>
      <c r="G105" s="32">
        <v>74264</v>
      </c>
      <c r="H105" s="32">
        <f>294+22112</f>
        <v>22406</v>
      </c>
      <c r="I105" s="32">
        <v>51858</v>
      </c>
      <c r="J105" s="32">
        <f t="shared" si="5"/>
        <v>128403</v>
      </c>
      <c r="K105" s="77"/>
      <c r="L105" s="78"/>
      <c r="N105"/>
    </row>
    <row r="106" spans="2:14" s="1" customFormat="1" x14ac:dyDescent="0.3">
      <c r="B106" s="29"/>
      <c r="C106" s="35" t="s">
        <v>108</v>
      </c>
      <c r="D106" s="36">
        <f t="shared" si="4"/>
        <v>173924</v>
      </c>
      <c r="E106" s="32">
        <v>43383</v>
      </c>
      <c r="F106" s="32">
        <v>35374</v>
      </c>
      <c r="G106" s="32">
        <v>95167</v>
      </c>
      <c r="H106" s="32">
        <f>330+39997</f>
        <v>40327</v>
      </c>
      <c r="I106" s="32">
        <v>54840</v>
      </c>
      <c r="J106" s="32">
        <f t="shared" si="5"/>
        <v>173924</v>
      </c>
      <c r="K106" s="77"/>
      <c r="L106" s="78"/>
      <c r="N106"/>
    </row>
    <row r="107" spans="2:14" s="1" customFormat="1" x14ac:dyDescent="0.3">
      <c r="B107" s="29"/>
      <c r="C107" s="38" t="s">
        <v>109</v>
      </c>
      <c r="D107" s="17">
        <f t="shared" si="4"/>
        <v>230606</v>
      </c>
      <c r="E107" s="32">
        <v>44627</v>
      </c>
      <c r="F107" s="32">
        <v>35565</v>
      </c>
      <c r="G107" s="32">
        <v>150414</v>
      </c>
      <c r="H107" s="32">
        <f>396+33540</f>
        <v>33936</v>
      </c>
      <c r="I107" s="32">
        <v>116478</v>
      </c>
      <c r="J107" s="32">
        <f t="shared" si="5"/>
        <v>230606</v>
      </c>
      <c r="K107" s="77"/>
      <c r="L107" s="78"/>
      <c r="N107"/>
    </row>
    <row r="108" spans="2:14" s="1" customFormat="1" x14ac:dyDescent="0.3">
      <c r="B108" s="29"/>
      <c r="C108" s="35" t="s">
        <v>110</v>
      </c>
      <c r="D108" s="36">
        <f t="shared" si="4"/>
        <v>254859</v>
      </c>
      <c r="E108" s="32">
        <v>47620</v>
      </c>
      <c r="F108" s="32">
        <v>42051</v>
      </c>
      <c r="G108" s="32">
        <v>165188</v>
      </c>
      <c r="H108" s="32">
        <f>150+533+34405</f>
        <v>35088</v>
      </c>
      <c r="I108" s="32">
        <v>130100</v>
      </c>
      <c r="J108" s="32">
        <f t="shared" si="5"/>
        <v>254859</v>
      </c>
      <c r="K108" s="77"/>
      <c r="L108" s="78"/>
      <c r="N108"/>
    </row>
    <row r="109" spans="2:14" s="1" customFormat="1" x14ac:dyDescent="0.3">
      <c r="B109" s="29"/>
      <c r="C109" s="38" t="s">
        <v>111</v>
      </c>
      <c r="D109" s="17">
        <f>J109</f>
        <v>23351</v>
      </c>
      <c r="E109" s="32">
        <v>11037</v>
      </c>
      <c r="F109" s="32">
        <v>10756</v>
      </c>
      <c r="G109" s="32">
        <v>1558</v>
      </c>
      <c r="H109" s="32">
        <f>142+1416</f>
        <v>1558</v>
      </c>
      <c r="I109" s="32">
        <v>0</v>
      </c>
      <c r="J109" s="32">
        <f t="shared" ref="J109:J154" si="7">+I109+H109+F109+E109</f>
        <v>23351</v>
      </c>
      <c r="K109" s="77"/>
      <c r="L109" s="78"/>
      <c r="N109"/>
    </row>
    <row r="110" spans="2:14" s="1" customFormat="1" x14ac:dyDescent="0.3">
      <c r="B110" s="29"/>
      <c r="C110" s="35" t="s">
        <v>112</v>
      </c>
      <c r="D110" s="36">
        <f>+J110</f>
        <v>206151</v>
      </c>
      <c r="E110" s="32">
        <v>56305</v>
      </c>
      <c r="F110" s="32">
        <v>45491</v>
      </c>
      <c r="G110" s="32">
        <v>104355</v>
      </c>
      <c r="H110" s="32">
        <f>924+50741</f>
        <v>51665</v>
      </c>
      <c r="I110" s="32">
        <v>52690</v>
      </c>
      <c r="J110" s="32">
        <f t="shared" si="7"/>
        <v>206151</v>
      </c>
      <c r="K110" s="77"/>
      <c r="L110" s="78"/>
      <c r="N110"/>
    </row>
    <row r="111" spans="2:14" s="1" customFormat="1" x14ac:dyDescent="0.3">
      <c r="B111" s="29"/>
      <c r="C111" s="38" t="s">
        <v>113</v>
      </c>
      <c r="D111" s="17">
        <f>+J111</f>
        <v>185806</v>
      </c>
      <c r="E111" s="32">
        <v>98908</v>
      </c>
      <c r="F111" s="32">
        <v>74884</v>
      </c>
      <c r="G111" s="32">
        <v>12014</v>
      </c>
      <c r="H111" s="32">
        <v>12014</v>
      </c>
      <c r="I111" s="32"/>
      <c r="J111" s="32">
        <f t="shared" si="7"/>
        <v>185806</v>
      </c>
      <c r="K111" s="77"/>
      <c r="L111" s="78"/>
      <c r="N111"/>
    </row>
    <row r="112" spans="2:14" s="1" customFormat="1" x14ac:dyDescent="0.3">
      <c r="B112" s="29"/>
      <c r="C112" s="38" t="s">
        <v>114</v>
      </c>
      <c r="D112" s="17">
        <f t="shared" si="4"/>
        <v>220522</v>
      </c>
      <c r="E112" s="32">
        <v>30877</v>
      </c>
      <c r="F112" s="32">
        <v>29057</v>
      </c>
      <c r="G112" s="32">
        <v>160588</v>
      </c>
      <c r="H112" s="32">
        <f>325+26375</f>
        <v>26700</v>
      </c>
      <c r="I112" s="32">
        <v>133888</v>
      </c>
      <c r="J112" s="32">
        <f t="shared" si="7"/>
        <v>220522</v>
      </c>
      <c r="K112" s="77"/>
      <c r="L112" s="78"/>
      <c r="N112"/>
    </row>
    <row r="113" spans="2:14" s="1" customFormat="1" x14ac:dyDescent="0.3">
      <c r="B113" s="29"/>
      <c r="C113" s="35" t="s">
        <v>115</v>
      </c>
      <c r="D113" s="36">
        <f t="shared" si="4"/>
        <v>350808</v>
      </c>
      <c r="E113" s="32">
        <v>45534</v>
      </c>
      <c r="F113" s="32">
        <v>41195</v>
      </c>
      <c r="G113" s="32">
        <v>264079</v>
      </c>
      <c r="H113" s="32">
        <f>100+396+37305</f>
        <v>37801</v>
      </c>
      <c r="I113" s="32">
        <v>226278</v>
      </c>
      <c r="J113" s="32">
        <f t="shared" si="7"/>
        <v>350808</v>
      </c>
      <c r="K113" s="77"/>
      <c r="L113" s="78"/>
      <c r="N113"/>
    </row>
    <row r="114" spans="2:14" s="1" customFormat="1" x14ac:dyDescent="0.3">
      <c r="B114" s="29"/>
      <c r="C114" s="38" t="s">
        <v>116</v>
      </c>
      <c r="D114" s="17">
        <f t="shared" si="4"/>
        <v>124699</v>
      </c>
      <c r="E114" s="32">
        <v>23922</v>
      </c>
      <c r="F114" s="32">
        <v>19467</v>
      </c>
      <c r="G114" s="32">
        <v>81310</v>
      </c>
      <c r="H114" s="32">
        <f>748+19988</f>
        <v>20736</v>
      </c>
      <c r="I114" s="32">
        <v>60574</v>
      </c>
      <c r="J114" s="32">
        <f t="shared" si="7"/>
        <v>124699</v>
      </c>
      <c r="K114" s="77"/>
      <c r="L114" s="78"/>
      <c r="N114"/>
    </row>
    <row r="115" spans="2:14" s="1" customFormat="1" x14ac:dyDescent="0.3">
      <c r="B115" s="29"/>
      <c r="C115" s="35" t="s">
        <v>117</v>
      </c>
      <c r="D115" s="36">
        <f t="shared" si="4"/>
        <v>281755</v>
      </c>
      <c r="E115" s="32">
        <v>43324</v>
      </c>
      <c r="F115" s="32">
        <v>37356</v>
      </c>
      <c r="G115" s="32">
        <v>201075</v>
      </c>
      <c r="H115" s="32">
        <f>386+37200</f>
        <v>37586</v>
      </c>
      <c r="I115" s="32">
        <v>163489</v>
      </c>
      <c r="J115" s="32">
        <f t="shared" si="7"/>
        <v>281755</v>
      </c>
      <c r="K115" s="77"/>
      <c r="L115" s="78"/>
      <c r="N115"/>
    </row>
    <row r="116" spans="2:14" s="1" customFormat="1" x14ac:dyDescent="0.3">
      <c r="B116" s="29"/>
      <c r="C116" s="38" t="s">
        <v>118</v>
      </c>
      <c r="D116" s="17">
        <f t="shared" si="4"/>
        <v>338490</v>
      </c>
      <c r="E116" s="32">
        <v>48320</v>
      </c>
      <c r="F116" s="32">
        <v>41278</v>
      </c>
      <c r="G116" s="32">
        <v>248892</v>
      </c>
      <c r="H116" s="32">
        <f>235+45426</f>
        <v>45661</v>
      </c>
      <c r="I116" s="32">
        <v>203231</v>
      </c>
      <c r="J116" s="32">
        <f t="shared" si="7"/>
        <v>338490</v>
      </c>
      <c r="K116" s="77"/>
      <c r="L116" s="78"/>
      <c r="N116"/>
    </row>
    <row r="117" spans="2:14" s="1" customFormat="1" x14ac:dyDescent="0.3">
      <c r="B117" s="29"/>
      <c r="C117" s="35" t="s">
        <v>119</v>
      </c>
      <c r="D117" s="36">
        <f t="shared" si="4"/>
        <v>119555</v>
      </c>
      <c r="E117" s="32">
        <v>34270</v>
      </c>
      <c r="F117" s="32">
        <v>28139</v>
      </c>
      <c r="G117" s="32">
        <v>57146</v>
      </c>
      <c r="H117" s="32">
        <f>440+26832</f>
        <v>27272</v>
      </c>
      <c r="I117" s="32">
        <v>29874</v>
      </c>
      <c r="J117" s="32">
        <f t="shared" si="7"/>
        <v>119555</v>
      </c>
      <c r="K117" s="77"/>
      <c r="L117" s="78"/>
      <c r="N117"/>
    </row>
    <row r="118" spans="2:14" s="1" customFormat="1" x14ac:dyDescent="0.3">
      <c r="B118" s="29"/>
      <c r="C118" s="38" t="s">
        <v>120</v>
      </c>
      <c r="D118" s="17">
        <f t="shared" si="4"/>
        <v>158871</v>
      </c>
      <c r="E118" s="32">
        <v>51127</v>
      </c>
      <c r="F118" s="32">
        <v>43375</v>
      </c>
      <c r="G118" s="32">
        <v>64369</v>
      </c>
      <c r="H118" s="32">
        <f>500+38989</f>
        <v>39489</v>
      </c>
      <c r="I118" s="32">
        <v>24880</v>
      </c>
      <c r="J118" s="32">
        <f t="shared" si="7"/>
        <v>158871</v>
      </c>
      <c r="K118" s="77"/>
      <c r="L118" s="78"/>
      <c r="N118"/>
    </row>
    <row r="119" spans="2:14" s="1" customFormat="1" x14ac:dyDescent="0.3">
      <c r="B119" s="29"/>
      <c r="C119" s="35" t="s">
        <v>121</v>
      </c>
      <c r="D119" s="36">
        <f t="shared" si="4"/>
        <v>121191</v>
      </c>
      <c r="E119" s="32">
        <v>16514</v>
      </c>
      <c r="F119" s="32">
        <v>16608</v>
      </c>
      <c r="G119" s="32">
        <v>88069</v>
      </c>
      <c r="H119" s="32">
        <f>27+613+13107</f>
        <v>13747</v>
      </c>
      <c r="I119" s="32">
        <v>74322</v>
      </c>
      <c r="J119" s="32">
        <f t="shared" si="7"/>
        <v>121191</v>
      </c>
      <c r="K119" s="77"/>
      <c r="L119" s="78"/>
      <c r="N119"/>
    </row>
    <row r="120" spans="2:14" s="1" customFormat="1" x14ac:dyDescent="0.3">
      <c r="B120" s="29"/>
      <c r="C120" s="38" t="s">
        <v>122</v>
      </c>
      <c r="D120" s="17">
        <f t="shared" si="4"/>
        <v>236459</v>
      </c>
      <c r="E120" s="32">
        <v>44402</v>
      </c>
      <c r="F120" s="32">
        <v>37471</v>
      </c>
      <c r="G120" s="32">
        <v>154586</v>
      </c>
      <c r="H120" s="32">
        <f>180+37970</f>
        <v>38150</v>
      </c>
      <c r="I120" s="32">
        <v>116436</v>
      </c>
      <c r="J120" s="32">
        <f t="shared" si="7"/>
        <v>236459</v>
      </c>
      <c r="K120" s="77"/>
      <c r="L120" s="78"/>
      <c r="N120"/>
    </row>
    <row r="121" spans="2:14" s="1" customFormat="1" x14ac:dyDescent="0.3">
      <c r="B121" s="29"/>
      <c r="C121" s="35" t="s">
        <v>123</v>
      </c>
      <c r="D121" s="36">
        <f t="shared" si="4"/>
        <v>229101</v>
      </c>
      <c r="E121" s="32">
        <v>33532</v>
      </c>
      <c r="F121" s="32">
        <v>27655</v>
      </c>
      <c r="G121" s="32">
        <v>167914</v>
      </c>
      <c r="H121" s="32">
        <f>660+28396</f>
        <v>29056</v>
      </c>
      <c r="I121" s="32">
        <v>138858</v>
      </c>
      <c r="J121" s="32">
        <f t="shared" si="7"/>
        <v>229101</v>
      </c>
      <c r="K121" s="77"/>
      <c r="L121" s="78"/>
      <c r="N121"/>
    </row>
    <row r="122" spans="2:14" s="1" customFormat="1" x14ac:dyDescent="0.3">
      <c r="B122" s="29"/>
      <c r="C122" s="38" t="s">
        <v>124</v>
      </c>
      <c r="D122" s="17">
        <f t="shared" si="4"/>
        <v>220305</v>
      </c>
      <c r="E122" s="32">
        <v>45785</v>
      </c>
      <c r="F122" s="32">
        <v>37400</v>
      </c>
      <c r="G122" s="32">
        <v>137120</v>
      </c>
      <c r="H122" s="32">
        <f>550+39100</f>
        <v>39650</v>
      </c>
      <c r="I122" s="32">
        <v>97470</v>
      </c>
      <c r="J122" s="32">
        <f t="shared" si="7"/>
        <v>220305</v>
      </c>
      <c r="K122" s="77"/>
      <c r="L122" s="78"/>
      <c r="N122"/>
    </row>
    <row r="123" spans="2:14" s="1" customFormat="1" x14ac:dyDescent="0.3">
      <c r="B123" s="29"/>
      <c r="C123" s="35" t="s">
        <v>125</v>
      </c>
      <c r="D123" s="36">
        <f t="shared" si="4"/>
        <v>109715</v>
      </c>
      <c r="E123" s="32">
        <v>35945</v>
      </c>
      <c r="F123" s="32">
        <v>28125</v>
      </c>
      <c r="G123" s="32">
        <v>45645</v>
      </c>
      <c r="H123" s="32">
        <f>940+26755</f>
        <v>27695</v>
      </c>
      <c r="I123" s="32">
        <v>17950</v>
      </c>
      <c r="J123" s="32">
        <f t="shared" si="7"/>
        <v>109715</v>
      </c>
      <c r="K123" s="77"/>
      <c r="L123" s="78"/>
      <c r="N123"/>
    </row>
    <row r="124" spans="2:14" s="1" customFormat="1" x14ac:dyDescent="0.3">
      <c r="B124" s="29"/>
      <c r="C124" s="35" t="s">
        <v>126</v>
      </c>
      <c r="D124" s="36">
        <f>+J124</f>
        <v>57395</v>
      </c>
      <c r="E124" s="32">
        <v>16853</v>
      </c>
      <c r="F124" s="32">
        <v>13819</v>
      </c>
      <c r="G124" s="32">
        <v>26723</v>
      </c>
      <c r="H124" s="32">
        <f>529+14038</f>
        <v>14567</v>
      </c>
      <c r="I124" s="32">
        <v>12156</v>
      </c>
      <c r="J124" s="32">
        <f t="shared" si="7"/>
        <v>57395</v>
      </c>
      <c r="K124" s="77"/>
      <c r="L124" s="78"/>
      <c r="N124"/>
    </row>
    <row r="125" spans="2:14" s="1" customFormat="1" x14ac:dyDescent="0.3">
      <c r="B125" s="29"/>
      <c r="C125" s="38" t="s">
        <v>127</v>
      </c>
      <c r="D125" s="17">
        <f t="shared" ref="D125:D127" si="8">+J125</f>
        <v>52090</v>
      </c>
      <c r="E125" s="32">
        <v>17656</v>
      </c>
      <c r="F125" s="32">
        <v>16000</v>
      </c>
      <c r="G125" s="32">
        <v>18434</v>
      </c>
      <c r="H125" s="32">
        <f>458+14916</f>
        <v>15374</v>
      </c>
      <c r="I125" s="32">
        <v>3060</v>
      </c>
      <c r="J125" s="32">
        <f t="shared" si="7"/>
        <v>52090</v>
      </c>
      <c r="K125" s="77"/>
      <c r="L125" s="78"/>
      <c r="N125"/>
    </row>
    <row r="126" spans="2:14" s="1" customFormat="1" x14ac:dyDescent="0.3">
      <c r="B126" s="29"/>
      <c r="C126" s="38" t="s">
        <v>128</v>
      </c>
      <c r="D126" s="17">
        <f t="shared" si="8"/>
        <v>652054</v>
      </c>
      <c r="E126" s="32">
        <v>58818</v>
      </c>
      <c r="F126" s="32">
        <v>51271</v>
      </c>
      <c r="G126" s="32">
        <v>541965</v>
      </c>
      <c r="H126" s="32">
        <f>234+50901</f>
        <v>51135</v>
      </c>
      <c r="I126" s="32">
        <v>490830</v>
      </c>
      <c r="J126" s="32">
        <f t="shared" si="7"/>
        <v>652054</v>
      </c>
      <c r="K126" s="77"/>
      <c r="L126" s="78"/>
      <c r="N126"/>
    </row>
    <row r="127" spans="2:14" s="1" customFormat="1" x14ac:dyDescent="0.3">
      <c r="B127" s="29"/>
      <c r="C127" s="38" t="s">
        <v>129</v>
      </c>
      <c r="D127" s="17">
        <f t="shared" si="8"/>
        <v>21978</v>
      </c>
      <c r="E127" s="32">
        <v>7147</v>
      </c>
      <c r="F127" s="32">
        <v>8969</v>
      </c>
      <c r="G127" s="32">
        <v>5862</v>
      </c>
      <c r="H127" s="32">
        <f>120+4942</f>
        <v>5062</v>
      </c>
      <c r="I127" s="32">
        <v>800</v>
      </c>
      <c r="J127" s="32">
        <f t="shared" si="7"/>
        <v>21978</v>
      </c>
      <c r="K127" s="77"/>
      <c r="L127" s="78"/>
      <c r="N127"/>
    </row>
    <row r="128" spans="2:14" s="1" customFormat="1" ht="16.5" customHeight="1" x14ac:dyDescent="0.3">
      <c r="B128" s="29"/>
      <c r="C128" s="38" t="s">
        <v>130</v>
      </c>
      <c r="D128" s="17">
        <f t="shared" si="4"/>
        <v>38082</v>
      </c>
      <c r="E128" s="32">
        <v>12601</v>
      </c>
      <c r="F128" s="32">
        <v>11405</v>
      </c>
      <c r="G128" s="32">
        <v>14076</v>
      </c>
      <c r="H128" s="32">
        <f>217+12897</f>
        <v>13114</v>
      </c>
      <c r="I128" s="32">
        <v>962</v>
      </c>
      <c r="J128" s="32">
        <f t="shared" si="7"/>
        <v>38082</v>
      </c>
      <c r="K128" s="77"/>
      <c r="L128" s="78"/>
      <c r="N128"/>
    </row>
    <row r="129" spans="2:14" s="1" customFormat="1" x14ac:dyDescent="0.3">
      <c r="B129" s="29"/>
      <c r="C129" s="38" t="s">
        <v>131</v>
      </c>
      <c r="D129" s="17">
        <f t="shared" ref="D129:D154" si="9">+J129</f>
        <v>52525</v>
      </c>
      <c r="E129" s="32">
        <v>18409</v>
      </c>
      <c r="F129" s="32">
        <v>13383</v>
      </c>
      <c r="G129" s="32">
        <v>20733</v>
      </c>
      <c r="H129" s="32">
        <f>357+14726</f>
        <v>15083</v>
      </c>
      <c r="I129" s="32">
        <v>5650</v>
      </c>
      <c r="J129" s="32">
        <f t="shared" si="7"/>
        <v>52525</v>
      </c>
      <c r="K129" s="77"/>
      <c r="L129" s="78"/>
      <c r="N129"/>
    </row>
    <row r="130" spans="2:14" s="1" customFormat="1" x14ac:dyDescent="0.3">
      <c r="B130" s="29"/>
      <c r="C130" s="38" t="s">
        <v>132</v>
      </c>
      <c r="D130" s="17">
        <f t="shared" si="9"/>
        <v>62500</v>
      </c>
      <c r="E130" s="32">
        <v>17200</v>
      </c>
      <c r="F130" s="32">
        <v>14278</v>
      </c>
      <c r="G130" s="32">
        <v>31022</v>
      </c>
      <c r="H130" s="32">
        <f>210+15410</f>
        <v>15620</v>
      </c>
      <c r="I130" s="32">
        <v>15402</v>
      </c>
      <c r="J130" s="32">
        <f t="shared" si="7"/>
        <v>62500</v>
      </c>
      <c r="K130" s="77"/>
      <c r="L130" s="78"/>
      <c r="N130"/>
    </row>
    <row r="131" spans="2:14" s="1" customFormat="1" x14ac:dyDescent="0.3">
      <c r="B131" s="29"/>
      <c r="C131" s="38" t="s">
        <v>133</v>
      </c>
      <c r="D131" s="17">
        <f t="shared" si="9"/>
        <v>155850</v>
      </c>
      <c r="E131" s="32">
        <v>35400</v>
      </c>
      <c r="F131" s="32">
        <v>28200</v>
      </c>
      <c r="G131" s="32">
        <v>92250</v>
      </c>
      <c r="H131" s="32">
        <f>380+20080</f>
        <v>20460</v>
      </c>
      <c r="I131" s="32">
        <v>71790</v>
      </c>
      <c r="J131" s="32">
        <f t="shared" si="7"/>
        <v>155850</v>
      </c>
      <c r="K131" s="80"/>
      <c r="L131" s="78"/>
      <c r="N131"/>
    </row>
    <row r="132" spans="2:14" s="1" customFormat="1" x14ac:dyDescent="0.3">
      <c r="B132" s="29"/>
      <c r="C132" s="38" t="s">
        <v>134</v>
      </c>
      <c r="D132" s="17">
        <f t="shared" si="9"/>
        <v>109088</v>
      </c>
      <c r="E132" s="31">
        <v>31198</v>
      </c>
      <c r="F132" s="39">
        <v>26622</v>
      </c>
      <c r="G132" s="39">
        <v>51268</v>
      </c>
      <c r="H132" s="31">
        <f>276+27376</f>
        <v>27652</v>
      </c>
      <c r="I132" s="39">
        <v>23616</v>
      </c>
      <c r="J132" s="32">
        <f t="shared" si="7"/>
        <v>109088</v>
      </c>
      <c r="K132" s="81"/>
      <c r="L132" s="78"/>
      <c r="N132"/>
    </row>
    <row r="133" spans="2:14" s="1" customFormat="1" x14ac:dyDescent="0.3">
      <c r="B133" s="29"/>
      <c r="C133" s="38" t="s">
        <v>135</v>
      </c>
      <c r="D133" s="17">
        <f t="shared" si="9"/>
        <v>116966</v>
      </c>
      <c r="E133" s="39">
        <v>30359</v>
      </c>
      <c r="F133" s="39">
        <v>24368</v>
      </c>
      <c r="G133" s="39">
        <v>62239</v>
      </c>
      <c r="H133" s="32">
        <f>286+27941</f>
        <v>28227</v>
      </c>
      <c r="I133" s="39">
        <v>34012</v>
      </c>
      <c r="J133" s="32">
        <f t="shared" si="7"/>
        <v>116966</v>
      </c>
      <c r="K133" s="80"/>
      <c r="L133" s="78"/>
      <c r="N133"/>
    </row>
    <row r="134" spans="2:14" s="1" customFormat="1" x14ac:dyDescent="0.3">
      <c r="B134" s="29"/>
      <c r="C134" s="38" t="s">
        <v>136</v>
      </c>
      <c r="D134" s="17">
        <f t="shared" si="9"/>
        <v>84128</v>
      </c>
      <c r="E134" s="39">
        <v>25505</v>
      </c>
      <c r="F134" s="39">
        <v>21890</v>
      </c>
      <c r="G134" s="39">
        <v>36733</v>
      </c>
      <c r="H134" s="32">
        <f>504+31729</f>
        <v>32233</v>
      </c>
      <c r="I134" s="39">
        <v>4500</v>
      </c>
      <c r="J134" s="32">
        <f t="shared" si="7"/>
        <v>84128</v>
      </c>
      <c r="K134" s="80"/>
      <c r="L134" s="78"/>
      <c r="N134"/>
    </row>
    <row r="135" spans="2:14" s="1" customFormat="1" x14ac:dyDescent="0.3">
      <c r="B135" s="29"/>
      <c r="C135" s="38" t="s">
        <v>137</v>
      </c>
      <c r="D135" s="17">
        <f t="shared" si="9"/>
        <v>69865</v>
      </c>
      <c r="E135" s="39">
        <v>14743</v>
      </c>
      <c r="F135" s="39">
        <v>12248</v>
      </c>
      <c r="G135" s="39">
        <v>42874</v>
      </c>
      <c r="H135" s="32">
        <f>315+13825</f>
        <v>14140</v>
      </c>
      <c r="I135" s="39">
        <v>28734</v>
      </c>
      <c r="J135" s="32">
        <f t="shared" si="7"/>
        <v>69865</v>
      </c>
      <c r="K135" s="80"/>
      <c r="L135" s="78"/>
      <c r="N135"/>
    </row>
    <row r="136" spans="2:14" s="1" customFormat="1" x14ac:dyDescent="0.3">
      <c r="B136" s="29"/>
      <c r="C136" s="38" t="s">
        <v>138</v>
      </c>
      <c r="D136" s="17">
        <f t="shared" si="9"/>
        <v>112552</v>
      </c>
      <c r="E136" s="42">
        <v>35456</v>
      </c>
      <c r="F136" s="39">
        <v>30626</v>
      </c>
      <c r="G136" s="39">
        <v>46470</v>
      </c>
      <c r="H136" s="32">
        <f>330+39340</f>
        <v>39670</v>
      </c>
      <c r="I136" s="39">
        <v>6800</v>
      </c>
      <c r="J136" s="32">
        <f t="shared" si="7"/>
        <v>112552</v>
      </c>
      <c r="K136" s="80"/>
      <c r="L136" s="78"/>
      <c r="N136"/>
    </row>
    <row r="137" spans="2:14" s="1" customFormat="1" x14ac:dyDescent="0.3">
      <c r="B137" s="29"/>
      <c r="C137" s="38" t="s">
        <v>139</v>
      </c>
      <c r="D137" s="45">
        <f t="shared" si="9"/>
        <v>87206</v>
      </c>
      <c r="E137" s="42">
        <v>21186</v>
      </c>
      <c r="F137" s="39">
        <v>17740</v>
      </c>
      <c r="G137" s="39">
        <v>48280</v>
      </c>
      <c r="H137" s="32">
        <f>276+17772</f>
        <v>18048</v>
      </c>
      <c r="I137" s="39">
        <v>30232</v>
      </c>
      <c r="J137" s="32">
        <f t="shared" si="7"/>
        <v>87206</v>
      </c>
      <c r="K137" s="80"/>
      <c r="L137" s="78"/>
      <c r="N137"/>
    </row>
    <row r="138" spans="2:14" s="1" customFormat="1" x14ac:dyDescent="0.3">
      <c r="B138" s="29"/>
      <c r="C138" s="38" t="s">
        <v>140</v>
      </c>
      <c r="D138" s="45">
        <f t="shared" si="9"/>
        <v>280326</v>
      </c>
      <c r="E138" s="42">
        <v>36444</v>
      </c>
      <c r="F138" s="39">
        <v>34787</v>
      </c>
      <c r="G138" s="39">
        <v>209095</v>
      </c>
      <c r="H138" s="32">
        <f>31752+417</f>
        <v>32169</v>
      </c>
      <c r="I138" s="39">
        <v>176926</v>
      </c>
      <c r="J138" s="32">
        <f t="shared" si="7"/>
        <v>280326</v>
      </c>
      <c r="K138" s="80"/>
      <c r="L138" s="78"/>
      <c r="N138"/>
    </row>
    <row r="139" spans="2:14" s="1" customFormat="1" x14ac:dyDescent="0.3">
      <c r="B139" s="29"/>
      <c r="C139" s="38" t="s">
        <v>141</v>
      </c>
      <c r="D139" s="45">
        <f t="shared" si="9"/>
        <v>76370</v>
      </c>
      <c r="E139" s="42">
        <v>25390</v>
      </c>
      <c r="F139" s="39">
        <v>20320</v>
      </c>
      <c r="G139" s="39">
        <v>30660</v>
      </c>
      <c r="H139" s="32">
        <f>220+21140</f>
        <v>21360</v>
      </c>
      <c r="I139" s="39">
        <v>9300</v>
      </c>
      <c r="J139" s="32">
        <f t="shared" si="7"/>
        <v>76370</v>
      </c>
      <c r="K139" s="80"/>
      <c r="L139" s="78"/>
      <c r="N139"/>
    </row>
    <row r="140" spans="2:14" s="1" customFormat="1" x14ac:dyDescent="0.3">
      <c r="B140" s="29"/>
      <c r="C140" s="38" t="s">
        <v>142</v>
      </c>
      <c r="D140" s="45">
        <f t="shared" si="9"/>
        <v>537687</v>
      </c>
      <c r="E140" s="42">
        <v>35064</v>
      </c>
      <c r="F140" s="39">
        <v>19764</v>
      </c>
      <c r="G140" s="39">
        <v>482859</v>
      </c>
      <c r="H140" s="32">
        <f>356+13117</f>
        <v>13473</v>
      </c>
      <c r="I140" s="39">
        <v>469386</v>
      </c>
      <c r="J140" s="32">
        <f t="shared" si="7"/>
        <v>537687</v>
      </c>
      <c r="K140" s="80"/>
      <c r="L140" s="78"/>
      <c r="N140"/>
    </row>
    <row r="141" spans="2:14" s="1" customFormat="1" x14ac:dyDescent="0.3">
      <c r="B141" s="29"/>
      <c r="C141" s="38" t="s">
        <v>143</v>
      </c>
      <c r="D141" s="45">
        <f t="shared" si="9"/>
        <v>172620</v>
      </c>
      <c r="E141" s="42">
        <v>89750</v>
      </c>
      <c r="F141" s="39">
        <v>67980</v>
      </c>
      <c r="G141" s="39">
        <v>14890</v>
      </c>
      <c r="H141" s="32">
        <v>14890</v>
      </c>
      <c r="I141" s="39"/>
      <c r="J141" s="32">
        <f t="shared" si="7"/>
        <v>172620</v>
      </c>
      <c r="K141" s="80"/>
      <c r="L141" s="78"/>
      <c r="N141"/>
    </row>
    <row r="142" spans="2:14" s="1" customFormat="1" x14ac:dyDescent="0.3">
      <c r="B142" s="29"/>
      <c r="C142" s="38" t="s">
        <v>144</v>
      </c>
      <c r="D142" s="45">
        <f t="shared" si="9"/>
        <v>45618</v>
      </c>
      <c r="E142" s="42">
        <v>15445</v>
      </c>
      <c r="F142" s="39">
        <v>11828</v>
      </c>
      <c r="G142" s="39">
        <v>18345</v>
      </c>
      <c r="H142" s="32">
        <f>238+12882</f>
        <v>13120</v>
      </c>
      <c r="I142" s="39">
        <v>5225</v>
      </c>
      <c r="J142" s="32">
        <f t="shared" si="7"/>
        <v>45618</v>
      </c>
      <c r="K142" s="80"/>
      <c r="L142" s="78"/>
      <c r="N142"/>
    </row>
    <row r="143" spans="2:14" s="1" customFormat="1" x14ac:dyDescent="0.3">
      <c r="B143" s="29"/>
      <c r="C143" s="38" t="s">
        <v>145</v>
      </c>
      <c r="D143" s="45">
        <f t="shared" si="9"/>
        <v>74233</v>
      </c>
      <c r="E143" s="42">
        <v>16044</v>
      </c>
      <c r="F143" s="39">
        <v>13174</v>
      </c>
      <c r="G143" s="39">
        <v>45015</v>
      </c>
      <c r="H143" s="32">
        <f>136+12004</f>
        <v>12140</v>
      </c>
      <c r="I143" s="39">
        <v>32875</v>
      </c>
      <c r="J143" s="32">
        <f t="shared" si="7"/>
        <v>74233</v>
      </c>
      <c r="K143" s="80"/>
      <c r="L143" s="78"/>
      <c r="N143"/>
    </row>
    <row r="144" spans="2:14" s="1" customFormat="1" x14ac:dyDescent="0.3">
      <c r="B144" s="29"/>
      <c r="C144" s="38" t="s">
        <v>146</v>
      </c>
      <c r="D144" s="45">
        <f t="shared" si="9"/>
        <v>73479</v>
      </c>
      <c r="E144" s="42">
        <v>16370</v>
      </c>
      <c r="F144" s="39">
        <v>15721</v>
      </c>
      <c r="G144" s="39">
        <v>41388</v>
      </c>
      <c r="H144" s="32">
        <f>368+16816</f>
        <v>17184</v>
      </c>
      <c r="I144" s="39">
        <v>24204</v>
      </c>
      <c r="J144" s="32">
        <f t="shared" si="7"/>
        <v>73479</v>
      </c>
      <c r="K144" s="80"/>
      <c r="L144" s="78"/>
      <c r="N144"/>
    </row>
    <row r="145" spans="2:14" s="1" customFormat="1" x14ac:dyDescent="0.3">
      <c r="B145" s="29"/>
      <c r="C145" s="38" t="s">
        <v>147</v>
      </c>
      <c r="D145" s="45">
        <f t="shared" si="9"/>
        <v>61274</v>
      </c>
      <c r="E145" s="42">
        <v>13984</v>
      </c>
      <c r="F145" s="39">
        <v>11491</v>
      </c>
      <c r="G145" s="39">
        <v>35799</v>
      </c>
      <c r="H145" s="32">
        <f>340+11507</f>
        <v>11847</v>
      </c>
      <c r="I145" s="39">
        <v>23952</v>
      </c>
      <c r="J145" s="32">
        <f t="shared" si="7"/>
        <v>61274</v>
      </c>
      <c r="K145" s="80"/>
      <c r="L145" s="78"/>
      <c r="N145"/>
    </row>
    <row r="146" spans="2:14" s="1" customFormat="1" x14ac:dyDescent="0.3">
      <c r="B146" s="29"/>
      <c r="C146" s="38" t="s">
        <v>148</v>
      </c>
      <c r="D146" s="45">
        <f t="shared" si="9"/>
        <v>38876</v>
      </c>
      <c r="E146" s="42">
        <v>8546</v>
      </c>
      <c r="F146" s="39">
        <v>7139</v>
      </c>
      <c r="G146" s="39">
        <v>23191</v>
      </c>
      <c r="H146" s="32">
        <f>8047+264</f>
        <v>8311</v>
      </c>
      <c r="I146" s="39">
        <v>14880</v>
      </c>
      <c r="J146" s="32">
        <f t="shared" si="7"/>
        <v>38876</v>
      </c>
      <c r="K146" s="80"/>
      <c r="L146" s="78"/>
      <c r="N146"/>
    </row>
    <row r="147" spans="2:14" s="1" customFormat="1" x14ac:dyDescent="0.3">
      <c r="B147" s="29"/>
      <c r="C147" s="38" t="s">
        <v>149</v>
      </c>
      <c r="D147" s="45">
        <f t="shared" si="9"/>
        <v>40030</v>
      </c>
      <c r="E147" s="42">
        <v>8361</v>
      </c>
      <c r="F147" s="39">
        <v>7293</v>
      </c>
      <c r="G147" s="39">
        <v>24376</v>
      </c>
      <c r="H147" s="32">
        <f>474+6622</f>
        <v>7096</v>
      </c>
      <c r="I147" s="39">
        <v>17280</v>
      </c>
      <c r="J147" s="32">
        <f t="shared" si="7"/>
        <v>40030</v>
      </c>
      <c r="K147" s="80"/>
      <c r="L147" s="78"/>
      <c r="N147"/>
    </row>
    <row r="148" spans="2:14" s="1" customFormat="1" x14ac:dyDescent="0.3">
      <c r="B148" s="29"/>
      <c r="C148" s="38" t="s">
        <v>150</v>
      </c>
      <c r="D148" s="45">
        <f t="shared" si="9"/>
        <v>215903</v>
      </c>
      <c r="E148" s="42">
        <v>22421</v>
      </c>
      <c r="F148" s="39">
        <v>18379</v>
      </c>
      <c r="G148" s="39">
        <v>175103</v>
      </c>
      <c r="H148" s="32">
        <f>147+12278</f>
        <v>12425</v>
      </c>
      <c r="I148" s="39">
        <v>162678</v>
      </c>
      <c r="J148" s="32">
        <f t="shared" si="7"/>
        <v>215903</v>
      </c>
      <c r="K148" s="80"/>
      <c r="L148" s="78"/>
      <c r="N148"/>
    </row>
    <row r="149" spans="2:14" s="1" customFormat="1" x14ac:dyDescent="0.3">
      <c r="B149" s="29"/>
      <c r="C149" s="38" t="s">
        <v>151</v>
      </c>
      <c r="D149" s="45">
        <f t="shared" si="9"/>
        <v>60879</v>
      </c>
      <c r="E149" s="42">
        <v>18823</v>
      </c>
      <c r="F149" s="39">
        <v>15630</v>
      </c>
      <c r="G149" s="39">
        <v>26426</v>
      </c>
      <c r="H149" s="39">
        <f>210+13916</f>
        <v>14126</v>
      </c>
      <c r="I149" s="39">
        <v>12300</v>
      </c>
      <c r="J149" s="32">
        <f t="shared" si="7"/>
        <v>60879</v>
      </c>
      <c r="K149" s="80"/>
      <c r="L149" s="78"/>
      <c r="N149"/>
    </row>
    <row r="150" spans="2:14" s="1" customFormat="1" x14ac:dyDescent="0.3">
      <c r="B150" s="29"/>
      <c r="C150" s="38" t="s">
        <v>152</v>
      </c>
      <c r="D150" s="45">
        <f t="shared" si="9"/>
        <v>86314</v>
      </c>
      <c r="E150" s="42">
        <v>25450</v>
      </c>
      <c r="F150" s="39">
        <v>21790</v>
      </c>
      <c r="G150" s="39">
        <v>39074</v>
      </c>
      <c r="H150" s="32">
        <f>279+23111</f>
        <v>23390</v>
      </c>
      <c r="I150" s="39">
        <v>15684</v>
      </c>
      <c r="J150" s="32">
        <f t="shared" si="7"/>
        <v>86314</v>
      </c>
      <c r="K150" s="80"/>
      <c r="L150" s="78"/>
      <c r="N150"/>
    </row>
    <row r="151" spans="2:14" s="1" customFormat="1" x14ac:dyDescent="0.3">
      <c r="B151" s="29"/>
      <c r="C151" s="38" t="s">
        <v>153</v>
      </c>
      <c r="D151" s="45">
        <f t="shared" si="9"/>
        <v>56712</v>
      </c>
      <c r="E151" s="42">
        <v>19213</v>
      </c>
      <c r="F151" s="39">
        <v>16825</v>
      </c>
      <c r="G151" s="39">
        <v>20674</v>
      </c>
      <c r="H151" s="32">
        <f>504+19920</f>
        <v>20424</v>
      </c>
      <c r="I151" s="39">
        <v>250</v>
      </c>
      <c r="J151" s="32">
        <f t="shared" si="7"/>
        <v>56712</v>
      </c>
      <c r="K151" s="80"/>
      <c r="L151" s="78"/>
      <c r="N151"/>
    </row>
    <row r="152" spans="2:14" s="1" customFormat="1" x14ac:dyDescent="0.3">
      <c r="B152" s="29"/>
      <c r="C152" s="38" t="s">
        <v>154</v>
      </c>
      <c r="D152" s="45">
        <f t="shared" si="9"/>
        <v>42833</v>
      </c>
      <c r="E152" s="42">
        <v>11392</v>
      </c>
      <c r="F152" s="39">
        <v>13651</v>
      </c>
      <c r="G152" s="39">
        <v>17790</v>
      </c>
      <c r="H152" s="32">
        <f>20+228+13918</f>
        <v>14166</v>
      </c>
      <c r="I152" s="39">
        <v>3624</v>
      </c>
      <c r="J152" s="32">
        <f t="shared" si="7"/>
        <v>42833</v>
      </c>
      <c r="K152" s="80"/>
      <c r="L152" s="78"/>
      <c r="N152"/>
    </row>
    <row r="153" spans="2:14" s="1" customFormat="1" x14ac:dyDescent="0.3">
      <c r="B153" s="29"/>
      <c r="C153" s="38" t="s">
        <v>155</v>
      </c>
      <c r="D153" s="45">
        <f t="shared" si="9"/>
        <v>32779</v>
      </c>
      <c r="E153" s="42"/>
      <c r="F153" s="39">
        <v>10765</v>
      </c>
      <c r="G153" s="39">
        <v>22014</v>
      </c>
      <c r="H153" s="32">
        <v>22014</v>
      </c>
      <c r="I153" s="39"/>
      <c r="J153" s="32">
        <f t="shared" si="7"/>
        <v>32779</v>
      </c>
      <c r="K153" s="80"/>
      <c r="L153" s="78"/>
      <c r="N153"/>
    </row>
    <row r="154" spans="2:14" s="1" customFormat="1" x14ac:dyDescent="0.3">
      <c r="B154" s="29"/>
      <c r="C154" s="38" t="s">
        <v>156</v>
      </c>
      <c r="D154" s="45">
        <f t="shared" si="9"/>
        <v>2364</v>
      </c>
      <c r="E154" s="42"/>
      <c r="F154" s="39"/>
      <c r="G154" s="39">
        <v>2364</v>
      </c>
      <c r="H154" s="32"/>
      <c r="I154" s="39">
        <v>2364</v>
      </c>
      <c r="J154" s="32">
        <f t="shared" si="7"/>
        <v>2364</v>
      </c>
      <c r="K154" s="80"/>
      <c r="L154" s="78"/>
      <c r="N154"/>
    </row>
    <row r="155" spans="2:14" s="1" customFormat="1" ht="28.2" x14ac:dyDescent="0.3">
      <c r="C155" s="35" t="s">
        <v>157</v>
      </c>
      <c r="D155" s="36">
        <f>SUM(D44:D154)</f>
        <v>28266352</v>
      </c>
      <c r="E155" s="48"/>
      <c r="F155" s="48"/>
      <c r="G155" s="89"/>
      <c r="H155" s="88"/>
      <c r="I155" s="47"/>
      <c r="J155" s="13"/>
      <c r="K155" s="81"/>
      <c r="L155" s="78"/>
    </row>
    <row r="156" spans="2:14" ht="15" thickBot="1" x14ac:dyDescent="0.35">
      <c r="C156" s="49" t="s">
        <v>158</v>
      </c>
      <c r="D156" s="50">
        <f>+D155+D42+D24</f>
        <v>29864057</v>
      </c>
      <c r="E156" s="20">
        <f>SUM(E44:E155)</f>
        <v>3796597</v>
      </c>
      <c r="F156" s="20">
        <f>SUM(F44:F155)</f>
        <v>3234192</v>
      </c>
      <c r="G156" s="20">
        <f>SUM(G44:G154)</f>
        <v>21235563</v>
      </c>
      <c r="H156" s="20">
        <f>SUM(H44:H155)</f>
        <v>2668499</v>
      </c>
      <c r="I156" s="20">
        <f>SUM(I44:I155)</f>
        <v>18567064</v>
      </c>
      <c r="J156" s="24">
        <f>SUM(J44:J155)</f>
        <v>28266352</v>
      </c>
      <c r="K156" s="79"/>
      <c r="L156" s="78"/>
    </row>
    <row r="157" spans="2:14" x14ac:dyDescent="0.3">
      <c r="C157" s="51"/>
      <c r="D157" s="52">
        <f>SUM(D44:D123)</f>
        <v>24695776</v>
      </c>
      <c r="E157" s="53"/>
      <c r="F157" s="53"/>
      <c r="G157" s="53"/>
      <c r="H157" s="53"/>
      <c r="I157" s="53"/>
      <c r="J157" s="53"/>
      <c r="K157" s="79"/>
    </row>
    <row r="158" spans="2:14" x14ac:dyDescent="0.3">
      <c r="H158" s="56">
        <f>+H156+H42+H24</f>
        <v>3498955</v>
      </c>
      <c r="I158" s="70">
        <f>+I156+I42+I24</f>
        <v>18577864</v>
      </c>
      <c r="J158" s="71"/>
      <c r="K158" s="72"/>
      <c r="L158" s="71"/>
    </row>
    <row r="165" spans="5:5" x14ac:dyDescent="0.3">
      <c r="E165" s="3">
        <f>J156-D155</f>
        <v>0</v>
      </c>
    </row>
  </sheetData>
  <mergeCells count="4">
    <mergeCell ref="C3:D3"/>
    <mergeCell ref="C4:D4"/>
    <mergeCell ref="C25:D25"/>
    <mergeCell ref="C43:D43"/>
  </mergeCells>
  <pageMargins left="0.11811023622047245" right="0.11811023622047245" top="0.23622047244094491" bottom="0.15748031496062992" header="0.23622047244094491" footer="0.31496062992125984"/>
  <pageSetup paperSize="5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877F2-11E6-4CC7-89C4-25F6ACD744CF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5F4C6-AB96-4814-A84B-E52AC6361E9F}">
  <dimension ref="D4:M118"/>
  <sheetViews>
    <sheetView topLeftCell="A97" workbookViewId="0">
      <selection activeCell="I6" sqref="I6:I117"/>
    </sheetView>
  </sheetViews>
  <sheetFormatPr baseColWidth="10" defaultRowHeight="14.4" x14ac:dyDescent="0.3"/>
  <sheetData>
    <row r="4" spans="4:13" ht="15" thickBot="1" x14ac:dyDescent="0.35"/>
    <row r="5" spans="4:13" x14ac:dyDescent="0.3">
      <c r="D5" s="33">
        <f>3820+49870</f>
        <v>53690</v>
      </c>
      <c r="E5" s="34">
        <v>1782914</v>
      </c>
      <c r="F5" s="63">
        <f>D5+E5</f>
        <v>1836604</v>
      </c>
      <c r="M5" s="64">
        <v>1836604</v>
      </c>
    </row>
    <row r="6" spans="4:13" x14ac:dyDescent="0.3">
      <c r="D6" s="33">
        <f>1800+2075+31284</f>
        <v>35159</v>
      </c>
      <c r="E6" s="37">
        <v>1891138</v>
      </c>
      <c r="F6" s="63">
        <f t="shared" ref="F6:F69" si="0">D6+E6</f>
        <v>1926297</v>
      </c>
      <c r="I6" t="str">
        <f>IF(F5=M5,"verdad","falso")</f>
        <v>verdad</v>
      </c>
      <c r="M6" s="64">
        <v>1926297</v>
      </c>
    </row>
    <row r="7" spans="4:13" x14ac:dyDescent="0.3">
      <c r="D7" s="33">
        <f>2430+7600+22973</f>
        <v>33003</v>
      </c>
      <c r="E7" s="37">
        <v>2606093</v>
      </c>
      <c r="F7" s="63">
        <f t="shared" si="0"/>
        <v>2639096</v>
      </c>
      <c r="I7" t="str">
        <f t="shared" ref="I7:I70" si="1">IF(F6=M6,"verdad","falso")</f>
        <v>verdad</v>
      </c>
      <c r="M7" s="64">
        <v>2639096</v>
      </c>
    </row>
    <row r="8" spans="4:13" x14ac:dyDescent="0.3">
      <c r="D8" s="33">
        <f>3024+22551</f>
        <v>25575</v>
      </c>
      <c r="E8" s="37">
        <v>983060</v>
      </c>
      <c r="F8" s="63">
        <f t="shared" si="0"/>
        <v>1008635</v>
      </c>
      <c r="I8" t="str">
        <f t="shared" si="1"/>
        <v>verdad</v>
      </c>
      <c r="M8" s="64">
        <v>1008635</v>
      </c>
    </row>
    <row r="9" spans="4:13" x14ac:dyDescent="0.3">
      <c r="D9" s="33">
        <f>559+31714</f>
        <v>32273</v>
      </c>
      <c r="E9" s="37">
        <v>792020</v>
      </c>
      <c r="F9" s="63">
        <f t="shared" si="0"/>
        <v>824293</v>
      </c>
      <c r="I9" t="str">
        <f t="shared" si="1"/>
        <v>verdad</v>
      </c>
      <c r="M9" s="64">
        <v>824293</v>
      </c>
    </row>
    <row r="10" spans="4:13" x14ac:dyDescent="0.3">
      <c r="D10" s="33">
        <f>240+662+50715</f>
        <v>51617</v>
      </c>
      <c r="E10" s="37">
        <v>994964</v>
      </c>
      <c r="F10" s="63">
        <f t="shared" si="0"/>
        <v>1046581</v>
      </c>
      <c r="I10" t="str">
        <f t="shared" si="1"/>
        <v>verdad</v>
      </c>
      <c r="M10" s="64">
        <v>1046581</v>
      </c>
    </row>
    <row r="11" spans="4:13" x14ac:dyDescent="0.3">
      <c r="D11" s="33">
        <f>1242+42186</f>
        <v>43428</v>
      </c>
      <c r="E11" s="37">
        <v>925696</v>
      </c>
      <c r="F11" s="63">
        <f t="shared" si="0"/>
        <v>969124</v>
      </c>
      <c r="I11" t="str">
        <f t="shared" si="1"/>
        <v>verdad</v>
      </c>
      <c r="M11" s="64">
        <v>969124</v>
      </c>
    </row>
    <row r="12" spans="4:13" x14ac:dyDescent="0.3">
      <c r="D12" s="33">
        <f>2660+1034+38377</f>
        <v>42071</v>
      </c>
      <c r="E12" s="37">
        <v>434845</v>
      </c>
      <c r="F12" s="63">
        <f t="shared" si="0"/>
        <v>476916</v>
      </c>
      <c r="I12" t="str">
        <f t="shared" si="1"/>
        <v>verdad</v>
      </c>
      <c r="M12" s="64">
        <v>476916</v>
      </c>
    </row>
    <row r="13" spans="4:13" x14ac:dyDescent="0.3">
      <c r="D13" s="33">
        <f>880+62870</f>
        <v>63750</v>
      </c>
      <c r="E13" s="37">
        <v>205770</v>
      </c>
      <c r="F13" s="63">
        <f t="shared" si="0"/>
        <v>269520</v>
      </c>
      <c r="I13" t="str">
        <f t="shared" si="1"/>
        <v>verdad</v>
      </c>
      <c r="M13" s="64">
        <v>269520</v>
      </c>
    </row>
    <row r="14" spans="4:13" x14ac:dyDescent="0.3">
      <c r="D14" s="33">
        <f>88+11039+276+20279</f>
        <v>31682</v>
      </c>
      <c r="E14" s="37">
        <v>126510</v>
      </c>
      <c r="F14" s="63">
        <f t="shared" si="0"/>
        <v>158192</v>
      </c>
      <c r="I14" t="str">
        <f t="shared" si="1"/>
        <v>verdad</v>
      </c>
      <c r="M14" s="64">
        <v>158192</v>
      </c>
    </row>
    <row r="15" spans="4:13" x14ac:dyDescent="0.3">
      <c r="D15" s="33"/>
      <c r="E15" s="37"/>
      <c r="F15" s="63">
        <f t="shared" si="0"/>
        <v>0</v>
      </c>
      <c r="I15" t="str">
        <f t="shared" si="1"/>
        <v>verdad</v>
      </c>
      <c r="M15" s="64">
        <v>0</v>
      </c>
    </row>
    <row r="16" spans="4:13" x14ac:dyDescent="0.3">
      <c r="D16" s="33">
        <f>291+16665</f>
        <v>16956</v>
      </c>
      <c r="E16" s="37">
        <v>0</v>
      </c>
      <c r="F16" s="63">
        <f t="shared" si="0"/>
        <v>16956</v>
      </c>
      <c r="I16" t="str">
        <f t="shared" si="1"/>
        <v>verdad</v>
      </c>
      <c r="M16" s="64">
        <v>16956</v>
      </c>
    </row>
    <row r="17" spans="4:13" x14ac:dyDescent="0.3">
      <c r="D17" s="33">
        <f>1082+24012</f>
        <v>25094</v>
      </c>
      <c r="E17" s="37">
        <v>490196</v>
      </c>
      <c r="F17" s="63">
        <f t="shared" si="0"/>
        <v>515290</v>
      </c>
      <c r="I17" t="str">
        <f t="shared" si="1"/>
        <v>verdad</v>
      </c>
      <c r="M17" s="64">
        <v>515290</v>
      </c>
    </row>
    <row r="18" spans="4:13" x14ac:dyDescent="0.3">
      <c r="D18" s="33">
        <f>694+15007</f>
        <v>15701</v>
      </c>
      <c r="E18" s="37">
        <v>66294</v>
      </c>
      <c r="F18" s="63">
        <f t="shared" si="0"/>
        <v>81995</v>
      </c>
      <c r="I18" t="str">
        <f t="shared" si="1"/>
        <v>verdad</v>
      </c>
      <c r="M18" s="64">
        <v>81995</v>
      </c>
    </row>
    <row r="19" spans="4:13" x14ac:dyDescent="0.3">
      <c r="D19" s="33">
        <f>396+16136</f>
        <v>16532</v>
      </c>
      <c r="E19" s="37">
        <v>56010</v>
      </c>
      <c r="F19" s="63">
        <f t="shared" si="0"/>
        <v>72542</v>
      </c>
      <c r="I19" t="str">
        <f t="shared" si="1"/>
        <v>verdad</v>
      </c>
      <c r="M19" s="64">
        <v>72542</v>
      </c>
    </row>
    <row r="20" spans="4:13" x14ac:dyDescent="0.3">
      <c r="D20" s="33">
        <f>400+7190</f>
        <v>7590</v>
      </c>
      <c r="E20" s="37">
        <v>23580</v>
      </c>
      <c r="F20" s="63">
        <f t="shared" si="0"/>
        <v>31170</v>
      </c>
      <c r="I20" t="str">
        <f t="shared" si="1"/>
        <v>verdad</v>
      </c>
      <c r="M20" s="64">
        <v>31170</v>
      </c>
    </row>
    <row r="21" spans="4:13" x14ac:dyDescent="0.3">
      <c r="D21" s="33">
        <f>285+15193</f>
        <v>15478</v>
      </c>
      <c r="E21" s="37">
        <v>46015</v>
      </c>
      <c r="F21" s="63">
        <f t="shared" si="0"/>
        <v>61493</v>
      </c>
      <c r="I21" t="str">
        <f t="shared" si="1"/>
        <v>verdad</v>
      </c>
      <c r="M21" s="64">
        <v>61493</v>
      </c>
    </row>
    <row r="22" spans="4:13" x14ac:dyDescent="0.3">
      <c r="D22" s="33">
        <f>260+11307</f>
        <v>11567</v>
      </c>
      <c r="E22" s="37">
        <v>62955</v>
      </c>
      <c r="F22" s="63">
        <f t="shared" si="0"/>
        <v>74522</v>
      </c>
      <c r="I22" t="str">
        <f t="shared" si="1"/>
        <v>verdad</v>
      </c>
      <c r="M22" s="64">
        <v>74522</v>
      </c>
    </row>
    <row r="23" spans="4:13" x14ac:dyDescent="0.3">
      <c r="D23" s="33">
        <f>239+12048</f>
        <v>12287</v>
      </c>
      <c r="E23" s="37">
        <v>118484</v>
      </c>
      <c r="F23" s="63">
        <f t="shared" si="0"/>
        <v>130771</v>
      </c>
      <c r="I23" t="str">
        <f t="shared" si="1"/>
        <v>verdad</v>
      </c>
      <c r="M23" s="64">
        <v>130771</v>
      </c>
    </row>
    <row r="24" spans="4:13" x14ac:dyDescent="0.3">
      <c r="D24" s="33">
        <f>304+22231</f>
        <v>22535</v>
      </c>
      <c r="E24" s="37">
        <v>110740</v>
      </c>
      <c r="F24" s="63">
        <f t="shared" si="0"/>
        <v>133275</v>
      </c>
      <c r="I24" t="str">
        <f t="shared" si="1"/>
        <v>verdad</v>
      </c>
      <c r="M24" s="64">
        <v>133275</v>
      </c>
    </row>
    <row r="25" spans="4:13" x14ac:dyDescent="0.3">
      <c r="D25" s="33">
        <f>324+45265</f>
        <v>45589</v>
      </c>
      <c r="E25" s="37">
        <v>192540</v>
      </c>
      <c r="F25" s="63">
        <f t="shared" si="0"/>
        <v>238129</v>
      </c>
      <c r="I25" t="str">
        <f t="shared" si="1"/>
        <v>verdad</v>
      </c>
      <c r="M25" s="64">
        <v>238129</v>
      </c>
    </row>
    <row r="26" spans="4:13" x14ac:dyDescent="0.3">
      <c r="D26" s="33">
        <f>450+582+26438</f>
        <v>27470</v>
      </c>
      <c r="E26" s="37">
        <v>311040</v>
      </c>
      <c r="F26" s="63">
        <f t="shared" si="0"/>
        <v>338510</v>
      </c>
      <c r="I26" t="str">
        <f t="shared" si="1"/>
        <v>verdad</v>
      </c>
      <c r="M26" s="64">
        <v>338510</v>
      </c>
    </row>
    <row r="27" spans="4:13" x14ac:dyDescent="0.3">
      <c r="D27" s="33">
        <f>156+38044</f>
        <v>38200</v>
      </c>
      <c r="E27" s="37">
        <v>629493</v>
      </c>
      <c r="F27" s="63">
        <f t="shared" si="0"/>
        <v>667693</v>
      </c>
      <c r="I27" t="str">
        <f t="shared" si="1"/>
        <v>verdad</v>
      </c>
      <c r="M27" s="64">
        <v>667693</v>
      </c>
    </row>
    <row r="28" spans="4:13" x14ac:dyDescent="0.3">
      <c r="D28" s="33">
        <f>598+20001</f>
        <v>20599</v>
      </c>
      <c r="E28" s="37">
        <v>100862</v>
      </c>
      <c r="F28" s="63">
        <f t="shared" si="0"/>
        <v>121461</v>
      </c>
      <c r="I28" t="str">
        <f t="shared" si="1"/>
        <v>verdad</v>
      </c>
      <c r="M28" s="64">
        <v>121461</v>
      </c>
    </row>
    <row r="29" spans="4:13" x14ac:dyDescent="0.3">
      <c r="D29" s="33">
        <f>284+9720</f>
        <v>10004</v>
      </c>
      <c r="E29" s="37">
        <v>175096</v>
      </c>
      <c r="F29" s="63">
        <f t="shared" si="0"/>
        <v>185100</v>
      </c>
      <c r="I29" t="str">
        <f t="shared" si="1"/>
        <v>verdad</v>
      </c>
      <c r="M29" s="64">
        <v>185100</v>
      </c>
    </row>
    <row r="30" spans="4:13" x14ac:dyDescent="0.3">
      <c r="D30" s="33">
        <f>2750+286+35140</f>
        <v>38176</v>
      </c>
      <c r="E30" s="37">
        <v>74452</v>
      </c>
      <c r="F30" s="63">
        <f t="shared" si="0"/>
        <v>112628</v>
      </c>
      <c r="I30" t="str">
        <f t="shared" si="1"/>
        <v>verdad</v>
      </c>
      <c r="M30" s="64">
        <v>112628</v>
      </c>
    </row>
    <row r="31" spans="4:13" x14ac:dyDescent="0.3">
      <c r="D31" s="33">
        <f>300+41006</f>
        <v>41306</v>
      </c>
      <c r="E31" s="37">
        <v>132431</v>
      </c>
      <c r="F31" s="63">
        <f t="shared" si="0"/>
        <v>173737</v>
      </c>
      <c r="I31" t="str">
        <f t="shared" si="1"/>
        <v>verdad</v>
      </c>
      <c r="M31" s="64">
        <v>173737</v>
      </c>
    </row>
    <row r="32" spans="4:13" x14ac:dyDescent="0.3">
      <c r="D32" s="33">
        <f>198+12494</f>
        <v>12692</v>
      </c>
      <c r="E32" s="37">
        <v>14490</v>
      </c>
      <c r="F32" s="63">
        <f t="shared" si="0"/>
        <v>27182</v>
      </c>
      <c r="I32" t="str">
        <f t="shared" si="1"/>
        <v>verdad</v>
      </c>
      <c r="M32" s="64">
        <v>27182</v>
      </c>
    </row>
    <row r="33" spans="4:13" x14ac:dyDescent="0.3">
      <c r="D33" s="33">
        <f>374+37071+379</f>
        <v>37824</v>
      </c>
      <c r="E33" s="37">
        <v>42000</v>
      </c>
      <c r="F33" s="63">
        <f t="shared" si="0"/>
        <v>79824</v>
      </c>
      <c r="I33" t="str">
        <f t="shared" si="1"/>
        <v>verdad</v>
      </c>
      <c r="M33" s="64">
        <v>79824</v>
      </c>
    </row>
    <row r="34" spans="4:13" x14ac:dyDescent="0.3">
      <c r="D34" s="33">
        <f>218+19372</f>
        <v>19590</v>
      </c>
      <c r="E34" s="37">
        <v>23200</v>
      </c>
      <c r="F34" s="63">
        <f t="shared" si="0"/>
        <v>42790</v>
      </c>
      <c r="I34" t="str">
        <f t="shared" si="1"/>
        <v>verdad</v>
      </c>
      <c r="M34" s="64">
        <v>42790</v>
      </c>
    </row>
    <row r="35" spans="4:13" x14ac:dyDescent="0.3">
      <c r="D35" s="33">
        <f>2850+40060+150</f>
        <v>43060</v>
      </c>
      <c r="E35" s="37">
        <v>415800</v>
      </c>
      <c r="F35" s="63">
        <f t="shared" si="0"/>
        <v>458860</v>
      </c>
      <c r="I35" t="str">
        <f t="shared" si="1"/>
        <v>verdad</v>
      </c>
      <c r="M35" s="64">
        <v>458860</v>
      </c>
    </row>
    <row r="36" spans="4:13" x14ac:dyDescent="0.3">
      <c r="D36" s="33">
        <f>33+467</f>
        <v>500</v>
      </c>
      <c r="E36" s="37">
        <v>0</v>
      </c>
      <c r="F36" s="63">
        <f t="shared" si="0"/>
        <v>500</v>
      </c>
      <c r="I36" t="str">
        <f t="shared" si="1"/>
        <v>verdad</v>
      </c>
      <c r="M36" s="64">
        <v>500</v>
      </c>
    </row>
    <row r="37" spans="4:13" x14ac:dyDescent="0.3">
      <c r="D37" s="33">
        <f>285+19723</f>
        <v>20008</v>
      </c>
      <c r="E37" s="37">
        <v>23460</v>
      </c>
      <c r="F37" s="63">
        <f t="shared" si="0"/>
        <v>43468</v>
      </c>
      <c r="I37" t="str">
        <f t="shared" si="1"/>
        <v>verdad</v>
      </c>
      <c r="M37" s="64">
        <v>43468</v>
      </c>
    </row>
    <row r="38" spans="4:13" x14ac:dyDescent="0.3">
      <c r="D38" s="33">
        <f>357+32452</f>
        <v>32809</v>
      </c>
      <c r="E38" s="37">
        <v>49200</v>
      </c>
      <c r="F38" s="63">
        <f t="shared" si="0"/>
        <v>82009</v>
      </c>
      <c r="I38" t="str">
        <f t="shared" si="1"/>
        <v>verdad</v>
      </c>
      <c r="M38" s="64">
        <v>82009</v>
      </c>
    </row>
    <row r="39" spans="4:13" x14ac:dyDescent="0.3">
      <c r="D39" s="33">
        <f>105+19775</f>
        <v>19880</v>
      </c>
      <c r="E39" s="37">
        <v>4800</v>
      </c>
      <c r="F39" s="63">
        <f t="shared" si="0"/>
        <v>24680</v>
      </c>
      <c r="I39" t="str">
        <f t="shared" si="1"/>
        <v>verdad</v>
      </c>
      <c r="M39" s="64">
        <v>24680</v>
      </c>
    </row>
    <row r="40" spans="4:13" x14ac:dyDescent="0.3">
      <c r="D40" s="33">
        <f>340+28303</f>
        <v>28643</v>
      </c>
      <c r="E40" s="37">
        <v>39510</v>
      </c>
      <c r="F40" s="63">
        <f t="shared" si="0"/>
        <v>68153</v>
      </c>
      <c r="I40" t="str">
        <f t="shared" si="1"/>
        <v>verdad</v>
      </c>
      <c r="M40" s="64">
        <v>68153</v>
      </c>
    </row>
    <row r="41" spans="4:13" x14ac:dyDescent="0.3">
      <c r="D41" s="33">
        <f>507+44319</f>
        <v>44826</v>
      </c>
      <c r="E41" s="37">
        <v>18334</v>
      </c>
      <c r="F41" s="63">
        <f t="shared" si="0"/>
        <v>63160</v>
      </c>
      <c r="I41" t="str">
        <f t="shared" si="1"/>
        <v>verdad</v>
      </c>
      <c r="M41" s="64">
        <v>63160</v>
      </c>
    </row>
    <row r="42" spans="4:13" x14ac:dyDescent="0.3">
      <c r="D42" s="33">
        <f>420+36850</f>
        <v>37270</v>
      </c>
      <c r="E42" s="37">
        <v>37400</v>
      </c>
      <c r="F42" s="63">
        <f t="shared" si="0"/>
        <v>74670</v>
      </c>
      <c r="I42" t="str">
        <f t="shared" si="1"/>
        <v>verdad</v>
      </c>
      <c r="M42" s="64">
        <v>74670</v>
      </c>
    </row>
    <row r="43" spans="4:13" x14ac:dyDescent="0.3">
      <c r="D43" s="33">
        <f>462+21094</f>
        <v>21556</v>
      </c>
      <c r="E43" s="37">
        <v>2400</v>
      </c>
      <c r="F43" s="63">
        <f t="shared" si="0"/>
        <v>23956</v>
      </c>
      <c r="I43" t="str">
        <f t="shared" si="1"/>
        <v>verdad</v>
      </c>
      <c r="M43" s="64">
        <v>23956</v>
      </c>
    </row>
    <row r="44" spans="4:13" x14ac:dyDescent="0.3">
      <c r="D44" s="33">
        <f>320+13519</f>
        <v>13839</v>
      </c>
      <c r="E44" s="37">
        <v>37004</v>
      </c>
      <c r="F44" s="63">
        <f t="shared" si="0"/>
        <v>50843</v>
      </c>
      <c r="I44" t="str">
        <f t="shared" si="1"/>
        <v>verdad</v>
      </c>
      <c r="M44" s="64">
        <v>50843</v>
      </c>
    </row>
    <row r="45" spans="4:13" x14ac:dyDescent="0.3">
      <c r="D45" s="33">
        <f>200+11882</f>
        <v>12082</v>
      </c>
      <c r="E45" s="37">
        <v>25200</v>
      </c>
      <c r="F45" s="63">
        <f t="shared" si="0"/>
        <v>37282</v>
      </c>
      <c r="I45" t="str">
        <f t="shared" si="1"/>
        <v>verdad</v>
      </c>
      <c r="M45" s="64">
        <v>37282</v>
      </c>
    </row>
    <row r="46" spans="4:13" x14ac:dyDescent="0.3">
      <c r="D46" s="33">
        <f>117+8605</f>
        <v>8722</v>
      </c>
      <c r="E46" s="37">
        <v>21981</v>
      </c>
      <c r="F46" s="63">
        <f t="shared" si="0"/>
        <v>30703</v>
      </c>
      <c r="I46" t="str">
        <f t="shared" si="1"/>
        <v>verdad</v>
      </c>
      <c r="M46" s="64">
        <v>30703</v>
      </c>
    </row>
    <row r="47" spans="4:13" x14ac:dyDescent="0.3">
      <c r="D47" s="33">
        <f>777+420+48918</f>
        <v>50115</v>
      </c>
      <c r="E47" s="37">
        <v>183626</v>
      </c>
      <c r="F47" s="63">
        <f t="shared" si="0"/>
        <v>233741</v>
      </c>
      <c r="I47" t="str">
        <f t="shared" si="1"/>
        <v>verdad</v>
      </c>
      <c r="M47" s="64">
        <v>233741</v>
      </c>
    </row>
    <row r="48" spans="4:13" x14ac:dyDescent="0.3">
      <c r="D48" s="33"/>
      <c r="E48" s="37"/>
      <c r="F48" s="63">
        <f t="shared" si="0"/>
        <v>0</v>
      </c>
      <c r="I48" t="str">
        <f t="shared" si="1"/>
        <v>verdad</v>
      </c>
      <c r="M48" s="64">
        <v>0</v>
      </c>
    </row>
    <row r="49" spans="4:13" x14ac:dyDescent="0.3">
      <c r="D49" s="33">
        <f>168+8337</f>
        <v>8505</v>
      </c>
      <c r="E49" s="37"/>
      <c r="F49" s="63">
        <f t="shared" si="0"/>
        <v>8505</v>
      </c>
      <c r="I49" t="str">
        <f t="shared" si="1"/>
        <v>verdad</v>
      </c>
      <c r="M49" s="64">
        <v>8505</v>
      </c>
    </row>
    <row r="50" spans="4:13" x14ac:dyDescent="0.3">
      <c r="D50" s="33">
        <f>308+8870</f>
        <v>9178</v>
      </c>
      <c r="E50" s="37">
        <v>1800</v>
      </c>
      <c r="F50" s="63">
        <f t="shared" si="0"/>
        <v>10978</v>
      </c>
      <c r="I50" t="str">
        <f t="shared" si="1"/>
        <v>verdad</v>
      </c>
      <c r="M50" s="64">
        <v>10978</v>
      </c>
    </row>
    <row r="51" spans="4:13" x14ac:dyDescent="0.3">
      <c r="D51" s="33">
        <f>154+8917</f>
        <v>9071</v>
      </c>
      <c r="E51" s="37">
        <v>0</v>
      </c>
      <c r="F51" s="63">
        <f t="shared" si="0"/>
        <v>9071</v>
      </c>
      <c r="I51" t="str">
        <f t="shared" si="1"/>
        <v>verdad</v>
      </c>
      <c r="M51" s="64">
        <v>9071</v>
      </c>
    </row>
    <row r="52" spans="4:13" x14ac:dyDescent="0.3">
      <c r="D52" s="33">
        <f>405+19400</f>
        <v>19805</v>
      </c>
      <c r="E52" s="37">
        <v>118677</v>
      </c>
      <c r="F52" s="63">
        <f t="shared" si="0"/>
        <v>138482</v>
      </c>
      <c r="I52" t="str">
        <f t="shared" si="1"/>
        <v>verdad</v>
      </c>
      <c r="M52" s="64">
        <v>138482</v>
      </c>
    </row>
    <row r="53" spans="4:13" x14ac:dyDescent="0.3">
      <c r="D53" s="33">
        <f>148+15805</f>
        <v>15953</v>
      </c>
      <c r="E53" s="37">
        <v>71478</v>
      </c>
      <c r="F53" s="63">
        <f t="shared" si="0"/>
        <v>87431</v>
      </c>
      <c r="I53" t="str">
        <f t="shared" si="1"/>
        <v>verdad</v>
      </c>
      <c r="M53" s="64">
        <v>87431</v>
      </c>
    </row>
    <row r="54" spans="4:13" x14ac:dyDescent="0.3">
      <c r="D54" s="33">
        <f>464+34649</f>
        <v>35113</v>
      </c>
      <c r="E54" s="37">
        <v>61678</v>
      </c>
      <c r="F54" s="63">
        <f t="shared" si="0"/>
        <v>96791</v>
      </c>
      <c r="I54" t="str">
        <f t="shared" si="1"/>
        <v>verdad</v>
      </c>
      <c r="M54" s="64">
        <v>96791</v>
      </c>
    </row>
    <row r="55" spans="4:13" x14ac:dyDescent="0.3">
      <c r="D55" s="33">
        <f>1152+28469</f>
        <v>29621</v>
      </c>
      <c r="E55" s="37">
        <v>85547</v>
      </c>
      <c r="F55" s="63">
        <f t="shared" si="0"/>
        <v>115168</v>
      </c>
      <c r="I55" t="str">
        <f t="shared" si="1"/>
        <v>verdad</v>
      </c>
      <c r="M55" s="64">
        <v>115168</v>
      </c>
    </row>
    <row r="56" spans="4:13" x14ac:dyDescent="0.3">
      <c r="D56" s="33">
        <f>770+35646</f>
        <v>36416</v>
      </c>
      <c r="E56" s="37">
        <v>60396</v>
      </c>
      <c r="F56" s="63">
        <f t="shared" si="0"/>
        <v>96812</v>
      </c>
      <c r="I56" t="str">
        <f t="shared" si="1"/>
        <v>verdad</v>
      </c>
      <c r="M56" s="64">
        <v>96812</v>
      </c>
    </row>
    <row r="57" spans="4:13" x14ac:dyDescent="0.3">
      <c r="D57" s="33">
        <f>352+25948</f>
        <v>26300</v>
      </c>
      <c r="E57" s="37">
        <v>75102</v>
      </c>
      <c r="F57" s="63">
        <f t="shared" si="0"/>
        <v>101402</v>
      </c>
      <c r="I57" t="str">
        <f t="shared" si="1"/>
        <v>verdad</v>
      </c>
      <c r="M57" s="64">
        <v>101402</v>
      </c>
    </row>
    <row r="58" spans="4:13" x14ac:dyDescent="0.3">
      <c r="D58" s="33">
        <f>340+7660</f>
        <v>8000</v>
      </c>
      <c r="E58" s="37">
        <v>15990</v>
      </c>
      <c r="F58" s="63">
        <f t="shared" si="0"/>
        <v>23990</v>
      </c>
      <c r="I58" t="str">
        <f t="shared" si="1"/>
        <v>verdad</v>
      </c>
      <c r="M58" s="64">
        <v>23990</v>
      </c>
    </row>
    <row r="59" spans="4:13" x14ac:dyDescent="0.3">
      <c r="D59" s="33">
        <f>286+13244</f>
        <v>13530</v>
      </c>
      <c r="E59" s="37">
        <v>1200</v>
      </c>
      <c r="F59" s="63">
        <f t="shared" si="0"/>
        <v>14730</v>
      </c>
      <c r="I59" t="str">
        <f t="shared" si="1"/>
        <v>verdad</v>
      </c>
      <c r="M59" s="64">
        <v>14730</v>
      </c>
    </row>
    <row r="60" spans="4:13" x14ac:dyDescent="0.3">
      <c r="D60" s="33">
        <f>433+9939</f>
        <v>10372</v>
      </c>
      <c r="E60" s="37">
        <v>11485</v>
      </c>
      <c r="F60" s="63">
        <f t="shared" si="0"/>
        <v>21857</v>
      </c>
      <c r="I60" t="str">
        <f t="shared" si="1"/>
        <v>verdad</v>
      </c>
      <c r="M60" s="64">
        <v>21857</v>
      </c>
    </row>
    <row r="61" spans="4:13" x14ac:dyDescent="0.3">
      <c r="D61" s="40">
        <f>494+17335</f>
        <v>17829</v>
      </c>
      <c r="E61" s="16">
        <v>9600</v>
      </c>
      <c r="F61" s="63">
        <f t="shared" si="0"/>
        <v>27429</v>
      </c>
      <c r="I61" t="str">
        <f t="shared" si="1"/>
        <v>verdad</v>
      </c>
      <c r="M61" s="64">
        <v>27429</v>
      </c>
    </row>
    <row r="62" spans="4:13" x14ac:dyDescent="0.3">
      <c r="D62" s="40">
        <f>420+29735</f>
        <v>30155</v>
      </c>
      <c r="E62" s="16">
        <v>60280</v>
      </c>
      <c r="F62" s="63">
        <f t="shared" si="0"/>
        <v>90435</v>
      </c>
      <c r="I62" t="str">
        <f t="shared" si="1"/>
        <v>verdad</v>
      </c>
      <c r="M62" s="64">
        <v>90435</v>
      </c>
    </row>
    <row r="63" spans="4:13" x14ac:dyDescent="0.3">
      <c r="D63" s="40">
        <f>425+37493</f>
        <v>37918</v>
      </c>
      <c r="E63" s="16">
        <v>183170</v>
      </c>
      <c r="F63" s="63">
        <f t="shared" si="0"/>
        <v>221088</v>
      </c>
      <c r="I63" t="str">
        <f t="shared" si="1"/>
        <v>verdad</v>
      </c>
      <c r="M63" s="64">
        <v>221088</v>
      </c>
    </row>
    <row r="64" spans="4:13" x14ac:dyDescent="0.3">
      <c r="D64" s="40">
        <f>69+508</f>
        <v>577</v>
      </c>
      <c r="E64" s="16"/>
      <c r="F64" s="63">
        <f t="shared" si="0"/>
        <v>577</v>
      </c>
      <c r="I64" t="str">
        <f t="shared" si="1"/>
        <v>verdad</v>
      </c>
      <c r="M64" s="64">
        <v>577</v>
      </c>
    </row>
    <row r="65" spans="4:13" x14ac:dyDescent="0.3">
      <c r="D65" s="40">
        <f>632+29719</f>
        <v>30351</v>
      </c>
      <c r="E65" s="16">
        <v>146370</v>
      </c>
      <c r="F65" s="63">
        <f t="shared" si="0"/>
        <v>176721</v>
      </c>
      <c r="I65" t="str">
        <f t="shared" si="1"/>
        <v>verdad</v>
      </c>
      <c r="M65" s="64">
        <v>176721</v>
      </c>
    </row>
    <row r="66" spans="4:13" x14ac:dyDescent="0.3">
      <c r="D66" s="40">
        <f>294+22112</f>
        <v>22406</v>
      </c>
      <c r="E66" s="16">
        <v>51858</v>
      </c>
      <c r="F66" s="63">
        <f t="shared" si="0"/>
        <v>74264</v>
      </c>
      <c r="I66" t="str">
        <f t="shared" si="1"/>
        <v>verdad</v>
      </c>
      <c r="M66" s="64">
        <v>74264</v>
      </c>
    </row>
    <row r="67" spans="4:13" x14ac:dyDescent="0.3">
      <c r="D67" s="40">
        <f>330+39997</f>
        <v>40327</v>
      </c>
      <c r="E67" s="16">
        <v>54840</v>
      </c>
      <c r="F67" s="63">
        <f t="shared" si="0"/>
        <v>95167</v>
      </c>
      <c r="I67" t="str">
        <f t="shared" si="1"/>
        <v>verdad</v>
      </c>
      <c r="M67" s="64">
        <v>95167</v>
      </c>
    </row>
    <row r="68" spans="4:13" x14ac:dyDescent="0.3">
      <c r="D68" s="40">
        <f>396+33540</f>
        <v>33936</v>
      </c>
      <c r="E68" s="16">
        <v>116478</v>
      </c>
      <c r="F68" s="63">
        <f t="shared" si="0"/>
        <v>150414</v>
      </c>
      <c r="I68" t="str">
        <f t="shared" si="1"/>
        <v>verdad</v>
      </c>
      <c r="M68" s="64">
        <v>150414</v>
      </c>
    </row>
    <row r="69" spans="4:13" x14ac:dyDescent="0.3">
      <c r="D69" s="40">
        <f>150+533+34405</f>
        <v>35088</v>
      </c>
      <c r="E69" s="16">
        <v>130100</v>
      </c>
      <c r="F69" s="63">
        <f t="shared" si="0"/>
        <v>165188</v>
      </c>
      <c r="I69" t="str">
        <f t="shared" si="1"/>
        <v>verdad</v>
      </c>
      <c r="M69" s="64">
        <v>165188</v>
      </c>
    </row>
    <row r="70" spans="4:13" x14ac:dyDescent="0.3">
      <c r="D70" s="40">
        <f>142+1416</f>
        <v>1558</v>
      </c>
      <c r="E70" s="16">
        <v>0</v>
      </c>
      <c r="F70" s="63">
        <f t="shared" ref="F70:F118" si="2">D70+E70</f>
        <v>1558</v>
      </c>
      <c r="I70" t="str">
        <f t="shared" si="1"/>
        <v>verdad</v>
      </c>
      <c r="M70" s="64">
        <v>1558</v>
      </c>
    </row>
    <row r="71" spans="4:13" x14ac:dyDescent="0.3">
      <c r="D71" s="40">
        <f>924+50741</f>
        <v>51665</v>
      </c>
      <c r="E71" s="16">
        <v>52690</v>
      </c>
      <c r="F71" s="63">
        <f t="shared" si="2"/>
        <v>104355</v>
      </c>
      <c r="I71" t="str">
        <f t="shared" ref="I71:I117" si="3">IF(F70=M70,"verdad","falso")</f>
        <v>verdad</v>
      </c>
      <c r="M71" s="64">
        <v>104355</v>
      </c>
    </row>
    <row r="72" spans="4:13" x14ac:dyDescent="0.3">
      <c r="D72" s="40">
        <v>12014</v>
      </c>
      <c r="E72" s="16"/>
      <c r="F72" s="63">
        <f t="shared" si="2"/>
        <v>12014</v>
      </c>
      <c r="I72" t="str">
        <f t="shared" si="3"/>
        <v>verdad</v>
      </c>
      <c r="M72" s="64">
        <v>12014</v>
      </c>
    </row>
    <row r="73" spans="4:13" x14ac:dyDescent="0.3">
      <c r="D73" s="40">
        <f>325+26375</f>
        <v>26700</v>
      </c>
      <c r="E73" s="16">
        <v>133888</v>
      </c>
      <c r="F73" s="63">
        <f t="shared" si="2"/>
        <v>160588</v>
      </c>
      <c r="I73" t="str">
        <f t="shared" si="3"/>
        <v>verdad</v>
      </c>
      <c r="M73" s="64">
        <v>160588</v>
      </c>
    </row>
    <row r="74" spans="4:13" x14ac:dyDescent="0.3">
      <c r="D74" s="40">
        <f>100+396+37305</f>
        <v>37801</v>
      </c>
      <c r="E74" s="16">
        <v>226278</v>
      </c>
      <c r="F74" s="63">
        <f t="shared" si="2"/>
        <v>264079</v>
      </c>
      <c r="I74" t="str">
        <f t="shared" si="3"/>
        <v>verdad</v>
      </c>
      <c r="M74" s="64">
        <v>264079</v>
      </c>
    </row>
    <row r="75" spans="4:13" x14ac:dyDescent="0.3">
      <c r="D75" s="40">
        <f>748+19988</f>
        <v>20736</v>
      </c>
      <c r="E75" s="16">
        <v>60574</v>
      </c>
      <c r="F75" s="63">
        <f t="shared" si="2"/>
        <v>81310</v>
      </c>
      <c r="I75" t="str">
        <f t="shared" si="3"/>
        <v>verdad</v>
      </c>
      <c r="M75" s="64">
        <v>81310</v>
      </c>
    </row>
    <row r="76" spans="4:13" x14ac:dyDescent="0.3">
      <c r="D76" s="40">
        <f>386+37200</f>
        <v>37586</v>
      </c>
      <c r="E76" s="16">
        <v>163489</v>
      </c>
      <c r="F76" s="63">
        <f t="shared" si="2"/>
        <v>201075</v>
      </c>
      <c r="I76" t="str">
        <f t="shared" si="3"/>
        <v>verdad</v>
      </c>
      <c r="M76" s="64">
        <v>201075</v>
      </c>
    </row>
    <row r="77" spans="4:13" x14ac:dyDescent="0.3">
      <c r="D77" s="40">
        <f>235+45426</f>
        <v>45661</v>
      </c>
      <c r="E77" s="16">
        <v>203231</v>
      </c>
      <c r="F77" s="63">
        <f t="shared" si="2"/>
        <v>248892</v>
      </c>
      <c r="I77" t="str">
        <f t="shared" si="3"/>
        <v>verdad</v>
      </c>
      <c r="M77" s="64">
        <v>248892</v>
      </c>
    </row>
    <row r="78" spans="4:13" x14ac:dyDescent="0.3">
      <c r="D78" s="40">
        <f>440+26832</f>
        <v>27272</v>
      </c>
      <c r="E78" s="16">
        <v>29874</v>
      </c>
      <c r="F78" s="63">
        <f t="shared" si="2"/>
        <v>57146</v>
      </c>
      <c r="I78" t="str">
        <f t="shared" si="3"/>
        <v>verdad</v>
      </c>
      <c r="M78" s="64">
        <v>57146</v>
      </c>
    </row>
    <row r="79" spans="4:13" x14ac:dyDescent="0.3">
      <c r="D79" s="40">
        <f>500+38989</f>
        <v>39489</v>
      </c>
      <c r="E79" s="16">
        <v>24880</v>
      </c>
      <c r="F79" s="63">
        <f t="shared" si="2"/>
        <v>64369</v>
      </c>
      <c r="I79" t="str">
        <f t="shared" si="3"/>
        <v>verdad</v>
      </c>
      <c r="M79" s="64">
        <v>64369</v>
      </c>
    </row>
    <row r="80" spans="4:13" x14ac:dyDescent="0.3">
      <c r="D80" s="40">
        <f>27+613+13107</f>
        <v>13747</v>
      </c>
      <c r="E80" s="16">
        <v>74322</v>
      </c>
      <c r="F80" s="63">
        <f t="shared" si="2"/>
        <v>88069</v>
      </c>
      <c r="I80" t="str">
        <f t="shared" si="3"/>
        <v>verdad</v>
      </c>
      <c r="M80" s="64">
        <v>88069</v>
      </c>
    </row>
    <row r="81" spans="4:13" x14ac:dyDescent="0.3">
      <c r="D81" s="40">
        <f>180+37970</f>
        <v>38150</v>
      </c>
      <c r="E81" s="16">
        <v>116436</v>
      </c>
      <c r="F81" s="63">
        <f t="shared" si="2"/>
        <v>154586</v>
      </c>
      <c r="I81" t="str">
        <f t="shared" si="3"/>
        <v>verdad</v>
      </c>
      <c r="M81" s="64">
        <v>154586</v>
      </c>
    </row>
    <row r="82" spans="4:13" x14ac:dyDescent="0.3">
      <c r="D82" s="40">
        <f>660+28396</f>
        <v>29056</v>
      </c>
      <c r="E82" s="16">
        <v>138858</v>
      </c>
      <c r="F82" s="63">
        <f t="shared" si="2"/>
        <v>167914</v>
      </c>
      <c r="I82" t="str">
        <f t="shared" si="3"/>
        <v>verdad</v>
      </c>
      <c r="M82" s="64">
        <v>167914</v>
      </c>
    </row>
    <row r="83" spans="4:13" x14ac:dyDescent="0.3">
      <c r="D83" s="40">
        <f>550+39100</f>
        <v>39650</v>
      </c>
      <c r="E83" s="16">
        <v>97470</v>
      </c>
      <c r="F83" s="63">
        <f t="shared" si="2"/>
        <v>137120</v>
      </c>
      <c r="I83" t="str">
        <f t="shared" si="3"/>
        <v>verdad</v>
      </c>
      <c r="M83" s="64">
        <v>137120</v>
      </c>
    </row>
    <row r="84" spans="4:13" x14ac:dyDescent="0.3">
      <c r="D84" s="40">
        <f>940+26755</f>
        <v>27695</v>
      </c>
      <c r="E84" s="16">
        <v>17950</v>
      </c>
      <c r="F84" s="63">
        <f t="shared" si="2"/>
        <v>45645</v>
      </c>
      <c r="I84" t="str">
        <f t="shared" si="3"/>
        <v>verdad</v>
      </c>
      <c r="M84" s="64">
        <v>45645</v>
      </c>
    </row>
    <row r="85" spans="4:13" x14ac:dyDescent="0.3">
      <c r="D85" s="40">
        <f>529+14038</f>
        <v>14567</v>
      </c>
      <c r="E85" s="16">
        <v>12156</v>
      </c>
      <c r="F85" s="63">
        <f t="shared" si="2"/>
        <v>26723</v>
      </c>
      <c r="I85" t="str">
        <f t="shared" si="3"/>
        <v>verdad</v>
      </c>
      <c r="M85" s="64">
        <v>26723</v>
      </c>
    </row>
    <row r="86" spans="4:13" x14ac:dyDescent="0.3">
      <c r="D86" s="40">
        <f>458+14916</f>
        <v>15374</v>
      </c>
      <c r="E86" s="16">
        <v>3060</v>
      </c>
      <c r="F86" s="63">
        <f t="shared" si="2"/>
        <v>18434</v>
      </c>
      <c r="I86" t="str">
        <f t="shared" si="3"/>
        <v>verdad</v>
      </c>
      <c r="M86" s="64">
        <v>18434</v>
      </c>
    </row>
    <row r="87" spans="4:13" x14ac:dyDescent="0.3">
      <c r="D87" s="40">
        <f>234+50901</f>
        <v>51135</v>
      </c>
      <c r="E87" s="16">
        <v>490830</v>
      </c>
      <c r="F87" s="63">
        <f t="shared" si="2"/>
        <v>541965</v>
      </c>
      <c r="I87" t="str">
        <f t="shared" si="3"/>
        <v>verdad</v>
      </c>
      <c r="M87" s="64">
        <v>541965</v>
      </c>
    </row>
    <row r="88" spans="4:13" x14ac:dyDescent="0.3">
      <c r="D88" s="40">
        <f>120+4942</f>
        <v>5062</v>
      </c>
      <c r="E88" s="16">
        <v>800</v>
      </c>
      <c r="F88" s="63">
        <f t="shared" si="2"/>
        <v>5862</v>
      </c>
      <c r="I88" t="str">
        <f t="shared" si="3"/>
        <v>verdad</v>
      </c>
      <c r="M88" s="64">
        <v>5862</v>
      </c>
    </row>
    <row r="89" spans="4:13" x14ac:dyDescent="0.3">
      <c r="D89" s="40">
        <f>217+12897</f>
        <v>13114</v>
      </c>
      <c r="E89" s="16">
        <v>962</v>
      </c>
      <c r="F89" s="63">
        <f t="shared" si="2"/>
        <v>14076</v>
      </c>
      <c r="I89" t="str">
        <f t="shared" si="3"/>
        <v>verdad</v>
      </c>
      <c r="M89" s="64">
        <v>14076</v>
      </c>
    </row>
    <row r="90" spans="4:13" x14ac:dyDescent="0.3">
      <c r="D90" s="40">
        <f>357+14726</f>
        <v>15083</v>
      </c>
      <c r="E90" s="16">
        <v>5650</v>
      </c>
      <c r="F90" s="63">
        <f t="shared" si="2"/>
        <v>20733</v>
      </c>
      <c r="I90" t="str">
        <f t="shared" si="3"/>
        <v>verdad</v>
      </c>
      <c r="M90" s="64">
        <v>20733</v>
      </c>
    </row>
    <row r="91" spans="4:13" x14ac:dyDescent="0.3">
      <c r="D91" s="40">
        <f>210+15410</f>
        <v>15620</v>
      </c>
      <c r="E91" s="16">
        <v>15402</v>
      </c>
      <c r="F91" s="63">
        <f t="shared" si="2"/>
        <v>31022</v>
      </c>
      <c r="I91" t="str">
        <f t="shared" si="3"/>
        <v>verdad</v>
      </c>
      <c r="M91" s="64">
        <v>31022</v>
      </c>
    </row>
    <row r="92" spans="4:13" x14ac:dyDescent="0.3">
      <c r="D92" s="40">
        <f>380+20080</f>
        <v>20460</v>
      </c>
      <c r="E92" s="16">
        <v>71790</v>
      </c>
      <c r="F92" s="63">
        <f t="shared" si="2"/>
        <v>92250</v>
      </c>
      <c r="I92" t="str">
        <f t="shared" si="3"/>
        <v>verdad</v>
      </c>
      <c r="M92" s="64">
        <v>92250</v>
      </c>
    </row>
    <row r="93" spans="4:13" x14ac:dyDescent="0.3">
      <c r="D93" s="43">
        <f>276+27376</f>
        <v>27652</v>
      </c>
      <c r="E93" s="41">
        <v>23616</v>
      </c>
      <c r="F93" s="63">
        <f t="shared" si="2"/>
        <v>51268</v>
      </c>
      <c r="I93" t="str">
        <f t="shared" si="3"/>
        <v>verdad</v>
      </c>
      <c r="M93" s="64">
        <v>51268</v>
      </c>
    </row>
    <row r="94" spans="4:13" x14ac:dyDescent="0.3">
      <c r="D94" s="40"/>
      <c r="E94" s="44"/>
      <c r="F94" s="63">
        <f t="shared" si="2"/>
        <v>0</v>
      </c>
      <c r="I94" t="str">
        <f t="shared" si="3"/>
        <v>verdad</v>
      </c>
      <c r="M94" s="64">
        <v>0</v>
      </c>
    </row>
    <row r="95" spans="4:13" x14ac:dyDescent="0.3">
      <c r="D95" s="40"/>
      <c r="E95" s="41"/>
      <c r="F95" s="63">
        <f t="shared" si="2"/>
        <v>0</v>
      </c>
      <c r="I95" t="str">
        <f t="shared" si="3"/>
        <v>verdad</v>
      </c>
      <c r="M95" s="64">
        <v>0</v>
      </c>
    </row>
    <row r="96" spans="4:13" x14ac:dyDescent="0.3">
      <c r="D96" s="40">
        <f>286+27941</f>
        <v>28227</v>
      </c>
      <c r="E96" s="41">
        <v>34012</v>
      </c>
      <c r="F96" s="63">
        <f t="shared" si="2"/>
        <v>62239</v>
      </c>
      <c r="I96" t="str">
        <f t="shared" si="3"/>
        <v>verdad</v>
      </c>
      <c r="M96" s="64">
        <v>62239</v>
      </c>
    </row>
    <row r="97" spans="4:13" x14ac:dyDescent="0.3">
      <c r="D97" s="40">
        <f>504+31729</f>
        <v>32233</v>
      </c>
      <c r="E97" s="41">
        <v>4500</v>
      </c>
      <c r="F97" s="63">
        <f t="shared" si="2"/>
        <v>36733</v>
      </c>
      <c r="I97" t="str">
        <f t="shared" si="3"/>
        <v>verdad</v>
      </c>
      <c r="M97" s="64">
        <v>36733</v>
      </c>
    </row>
    <row r="98" spans="4:13" x14ac:dyDescent="0.3">
      <c r="D98" s="40">
        <f>315+13825</f>
        <v>14140</v>
      </c>
      <c r="E98" s="41">
        <v>28734</v>
      </c>
      <c r="F98" s="63">
        <f t="shared" si="2"/>
        <v>42874</v>
      </c>
      <c r="I98" t="str">
        <f t="shared" si="3"/>
        <v>verdad</v>
      </c>
      <c r="M98" s="64">
        <v>42874</v>
      </c>
    </row>
    <row r="99" spans="4:13" x14ac:dyDescent="0.3">
      <c r="D99" s="40">
        <f>330+39340</f>
        <v>39670</v>
      </c>
      <c r="E99" s="41">
        <v>6800</v>
      </c>
      <c r="F99" s="63">
        <f t="shared" si="2"/>
        <v>46470</v>
      </c>
      <c r="I99" t="str">
        <f t="shared" si="3"/>
        <v>verdad</v>
      </c>
      <c r="M99" s="64">
        <v>46470</v>
      </c>
    </row>
    <row r="100" spans="4:13" x14ac:dyDescent="0.3">
      <c r="D100" s="40">
        <f>276+17772</f>
        <v>18048</v>
      </c>
      <c r="E100" s="41">
        <v>30232</v>
      </c>
      <c r="F100" s="63">
        <f t="shared" si="2"/>
        <v>48280</v>
      </c>
      <c r="I100" t="str">
        <f t="shared" si="3"/>
        <v>verdad</v>
      </c>
      <c r="M100" s="64">
        <v>48280</v>
      </c>
    </row>
    <row r="101" spans="4:13" x14ac:dyDescent="0.3">
      <c r="D101" s="40">
        <f>31752+417</f>
        <v>32169</v>
      </c>
      <c r="E101" s="41">
        <v>176926</v>
      </c>
      <c r="F101" s="63">
        <f t="shared" si="2"/>
        <v>209095</v>
      </c>
      <c r="I101" t="str">
        <f t="shared" si="3"/>
        <v>verdad</v>
      </c>
      <c r="M101" s="64">
        <v>209095</v>
      </c>
    </row>
    <row r="102" spans="4:13" x14ac:dyDescent="0.3">
      <c r="D102" s="40">
        <f>220+21140</f>
        <v>21360</v>
      </c>
      <c r="E102" s="41">
        <v>9300</v>
      </c>
      <c r="F102" s="63">
        <f t="shared" si="2"/>
        <v>30660</v>
      </c>
      <c r="I102" t="str">
        <f t="shared" si="3"/>
        <v>verdad</v>
      </c>
      <c r="M102" s="64">
        <v>30660</v>
      </c>
    </row>
    <row r="103" spans="4:13" x14ac:dyDescent="0.3">
      <c r="D103" s="40">
        <f>356+13117</f>
        <v>13473</v>
      </c>
      <c r="E103" s="41">
        <v>469386</v>
      </c>
      <c r="F103" s="63">
        <f t="shared" si="2"/>
        <v>482859</v>
      </c>
      <c r="I103" t="str">
        <f t="shared" si="3"/>
        <v>verdad</v>
      </c>
      <c r="M103" s="64">
        <v>482859</v>
      </c>
    </row>
    <row r="104" spans="4:13" x14ac:dyDescent="0.3">
      <c r="D104" s="40">
        <v>14890</v>
      </c>
      <c r="E104" s="41"/>
      <c r="F104" s="63">
        <f t="shared" si="2"/>
        <v>14890</v>
      </c>
      <c r="I104" t="str">
        <f t="shared" si="3"/>
        <v>verdad</v>
      </c>
      <c r="M104" s="64">
        <v>14890</v>
      </c>
    </row>
    <row r="105" spans="4:13" x14ac:dyDescent="0.3">
      <c r="D105" s="40">
        <f>238+12882</f>
        <v>13120</v>
      </c>
      <c r="E105" s="41">
        <v>5225</v>
      </c>
      <c r="F105" s="63">
        <f t="shared" si="2"/>
        <v>18345</v>
      </c>
      <c r="I105" t="str">
        <f t="shared" si="3"/>
        <v>verdad</v>
      </c>
      <c r="M105" s="64">
        <v>18345</v>
      </c>
    </row>
    <row r="106" spans="4:13" x14ac:dyDescent="0.3">
      <c r="D106" s="40">
        <f>136+12004</f>
        <v>12140</v>
      </c>
      <c r="E106" s="41">
        <v>32875</v>
      </c>
      <c r="F106" s="63">
        <f t="shared" si="2"/>
        <v>45015</v>
      </c>
      <c r="I106" t="str">
        <f t="shared" si="3"/>
        <v>verdad</v>
      </c>
      <c r="M106" s="64">
        <v>45015</v>
      </c>
    </row>
    <row r="107" spans="4:13" x14ac:dyDescent="0.3">
      <c r="D107" s="40">
        <f>368+16816</f>
        <v>17184</v>
      </c>
      <c r="E107" s="41">
        <v>24204</v>
      </c>
      <c r="F107" s="63">
        <f t="shared" si="2"/>
        <v>41388</v>
      </c>
      <c r="I107" t="str">
        <f t="shared" si="3"/>
        <v>verdad</v>
      </c>
      <c r="M107" s="64">
        <v>41388</v>
      </c>
    </row>
    <row r="108" spans="4:13" x14ac:dyDescent="0.3">
      <c r="D108" s="40">
        <f>340+11507</f>
        <v>11847</v>
      </c>
      <c r="E108" s="41">
        <v>23952</v>
      </c>
      <c r="F108" s="63">
        <f t="shared" si="2"/>
        <v>35799</v>
      </c>
      <c r="I108" t="str">
        <f t="shared" si="3"/>
        <v>verdad</v>
      </c>
      <c r="M108" s="64">
        <v>35799</v>
      </c>
    </row>
    <row r="109" spans="4:13" x14ac:dyDescent="0.3">
      <c r="D109" s="40">
        <f>8047+264</f>
        <v>8311</v>
      </c>
      <c r="E109" s="41">
        <v>14880</v>
      </c>
      <c r="F109" s="63">
        <f t="shared" si="2"/>
        <v>23191</v>
      </c>
      <c r="I109" t="str">
        <f t="shared" si="3"/>
        <v>verdad</v>
      </c>
      <c r="M109" s="64">
        <v>23191</v>
      </c>
    </row>
    <row r="110" spans="4:13" x14ac:dyDescent="0.3">
      <c r="D110" s="40">
        <f>474+6622</f>
        <v>7096</v>
      </c>
      <c r="E110" s="41">
        <v>17280</v>
      </c>
      <c r="F110" s="63">
        <f t="shared" si="2"/>
        <v>24376</v>
      </c>
      <c r="I110" t="str">
        <f t="shared" si="3"/>
        <v>verdad</v>
      </c>
      <c r="M110" s="64">
        <v>24376</v>
      </c>
    </row>
    <row r="111" spans="4:13" x14ac:dyDescent="0.3">
      <c r="D111" s="40">
        <f>147+12278</f>
        <v>12425</v>
      </c>
      <c r="E111" s="41">
        <v>162678</v>
      </c>
      <c r="F111" s="63">
        <f t="shared" si="2"/>
        <v>175103</v>
      </c>
      <c r="I111" t="str">
        <f t="shared" si="3"/>
        <v>verdad</v>
      </c>
      <c r="M111" s="64">
        <v>175103</v>
      </c>
    </row>
    <row r="112" spans="4:13" x14ac:dyDescent="0.3">
      <c r="D112" s="46">
        <f>210+13916</f>
        <v>14126</v>
      </c>
      <c r="E112" s="41">
        <v>12300</v>
      </c>
      <c r="F112" s="63">
        <f t="shared" si="2"/>
        <v>26426</v>
      </c>
      <c r="I112" t="str">
        <f t="shared" si="3"/>
        <v>verdad</v>
      </c>
      <c r="M112" s="64">
        <v>26426</v>
      </c>
    </row>
    <row r="113" spans="4:13" x14ac:dyDescent="0.3">
      <c r="D113" s="40">
        <f>279+23111</f>
        <v>23390</v>
      </c>
      <c r="E113" s="41">
        <v>15684</v>
      </c>
      <c r="F113" s="63">
        <f t="shared" si="2"/>
        <v>39074</v>
      </c>
      <c r="I113" t="str">
        <f t="shared" si="3"/>
        <v>verdad</v>
      </c>
      <c r="M113" s="64">
        <v>39074</v>
      </c>
    </row>
    <row r="114" spans="4:13" x14ac:dyDescent="0.3">
      <c r="D114" s="40">
        <f>504+19920</f>
        <v>20424</v>
      </c>
      <c r="E114" s="41">
        <v>250</v>
      </c>
      <c r="F114" s="63">
        <f t="shared" si="2"/>
        <v>20674</v>
      </c>
      <c r="I114" t="str">
        <f t="shared" si="3"/>
        <v>verdad</v>
      </c>
      <c r="M114" s="64">
        <v>20674</v>
      </c>
    </row>
    <row r="115" spans="4:13" x14ac:dyDescent="0.3">
      <c r="D115" s="40">
        <f>20+228+13918</f>
        <v>14166</v>
      </c>
      <c r="E115" s="41">
        <v>3624</v>
      </c>
      <c r="F115" s="63">
        <f t="shared" si="2"/>
        <v>17790</v>
      </c>
      <c r="I115" t="str">
        <f t="shared" si="3"/>
        <v>verdad</v>
      </c>
      <c r="M115" s="64">
        <v>17790</v>
      </c>
    </row>
    <row r="116" spans="4:13" x14ac:dyDescent="0.3">
      <c r="D116" s="40">
        <v>22014</v>
      </c>
      <c r="E116" s="41"/>
      <c r="F116" s="63">
        <f t="shared" si="2"/>
        <v>22014</v>
      </c>
      <c r="I116" t="str">
        <f t="shared" si="3"/>
        <v>verdad</v>
      </c>
      <c r="M116" s="64">
        <v>22014</v>
      </c>
    </row>
    <row r="117" spans="4:13" x14ac:dyDescent="0.3">
      <c r="E117" s="41">
        <v>2364</v>
      </c>
      <c r="F117" s="63">
        <f t="shared" si="2"/>
        <v>2364</v>
      </c>
      <c r="I117" t="str">
        <f t="shared" si="3"/>
        <v>verdad</v>
      </c>
      <c r="M117" s="64">
        <v>2364</v>
      </c>
    </row>
    <row r="118" spans="4:13" x14ac:dyDescent="0.3">
      <c r="F118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CEAF6-63F8-4752-B46C-EBB7414C93AF}">
  <dimension ref="A1"/>
  <sheetViews>
    <sheetView workbookViewId="0">
      <selection activeCell="C5" sqref="C5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2025</vt:lpstr>
      <vt:lpstr>Hoja2</vt:lpstr>
      <vt:lpstr>Hoja1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Planificacion 6</dc:creator>
  <cp:lastModifiedBy>Planificacion2</cp:lastModifiedBy>
  <cp:lastPrinted>2026-01-20T15:27:42Z</cp:lastPrinted>
  <dcterms:created xsi:type="dcterms:W3CDTF">2026-01-19T19:42:00Z</dcterms:created>
  <dcterms:modified xsi:type="dcterms:W3CDTF">2026-01-20T18:40:09Z</dcterms:modified>
</cp:coreProperties>
</file>