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"/>
    </mc:Choice>
  </mc:AlternateContent>
  <bookViews>
    <workbookView xWindow="0" yWindow="0" windowWidth="24000" windowHeight="9735" tabRatio="602" activeTab="3"/>
  </bookViews>
  <sheets>
    <sheet name="UASD 2022" sheetId="32" r:id="rId1"/>
    <sheet name="UASD 2024" sheetId="30" r:id="rId2"/>
    <sheet name="UASD 2023" sheetId="29" r:id="rId3"/>
    <sheet name="COCIDAS 2024 DETALLE CM" sheetId="26" r:id="rId4"/>
    <sheet name="COCIDAS 2023" sheetId="25" r:id="rId5"/>
    <sheet name="Hoja2" sheetId="28" r:id="rId6"/>
    <sheet name="Hoja1" sheetId="27" r:id="rId7"/>
    <sheet name="COCIDA 2020" sheetId="5" r:id="rId8"/>
    <sheet name="COCIDA 2021" sheetId="13" r:id="rId9"/>
    <sheet name="COCIDA 2022" sheetId="24" r:id="rId10"/>
    <sheet name="COCIDAS 2024 " sheetId="21" r:id="rId11"/>
    <sheet name="CRUDAS " sheetId="16" r:id="rId12"/>
    <sheet name="Comedores Nuevo" sheetId="23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6" i="26" l="1"/>
  <c r="M156" i="26"/>
  <c r="M151" i="26"/>
  <c r="M154" i="26" s="1"/>
  <c r="M153" i="26"/>
  <c r="M23" i="26"/>
  <c r="M21" i="26"/>
  <c r="M155" i="26"/>
  <c r="Q143" i="26"/>
  <c r="D143" i="26"/>
  <c r="Q140" i="26"/>
  <c r="Q141" i="26"/>
  <c r="D141" i="26" s="1"/>
  <c r="Q142" i="26"/>
  <c r="D142" i="26" s="1"/>
  <c r="Q144" i="26"/>
  <c r="D144" i="26" s="1"/>
  <c r="Q145" i="26"/>
  <c r="D140" i="26"/>
  <c r="M42" i="26"/>
  <c r="R6" i="32" l="1"/>
  <c r="R7" i="32"/>
  <c r="R8" i="32"/>
  <c r="V5" i="32"/>
  <c r="Q5" i="32"/>
  <c r="R5" i="32"/>
  <c r="Q6" i="32"/>
  <c r="Q7" i="32"/>
  <c r="M8" i="32"/>
  <c r="M11" i="32" s="1"/>
  <c r="N8" i="32"/>
  <c r="N11" i="32" s="1"/>
  <c r="O8" i="32"/>
  <c r="P8" i="32"/>
  <c r="Q8" i="32"/>
  <c r="Q11" i="32" s="1"/>
  <c r="O11" i="32"/>
  <c r="P11" i="32"/>
  <c r="D7" i="32"/>
  <c r="D5" i="32"/>
  <c r="N16" i="32"/>
  <c r="P13" i="32"/>
  <c r="P15" i="32" s="1"/>
  <c r="O13" i="32"/>
  <c r="O15" i="32" s="1"/>
  <c r="N13" i="32"/>
  <c r="N15" i="32" s="1"/>
  <c r="M13" i="32"/>
  <c r="M15" i="32" s="1"/>
  <c r="L13" i="32"/>
  <c r="L15" i="32" s="1"/>
  <c r="K13" i="32"/>
  <c r="K15" i="32" s="1"/>
  <c r="J13" i="32"/>
  <c r="J15" i="32" s="1"/>
  <c r="I13" i="32"/>
  <c r="I15" i="32" s="1"/>
  <c r="H13" i="32"/>
  <c r="H15" i="32" s="1"/>
  <c r="G13" i="32"/>
  <c r="G15" i="32" s="1"/>
  <c r="F13" i="32"/>
  <c r="F15" i="32" s="1"/>
  <c r="X12" i="32"/>
  <c r="X13" i="32" s="1"/>
  <c r="T8" i="32"/>
  <c r="H8" i="32"/>
  <c r="G8" i="32"/>
  <c r="F8" i="32"/>
  <c r="U7" i="32"/>
  <c r="U6" i="32"/>
  <c r="U5" i="32"/>
  <c r="J8" i="32"/>
  <c r="R11" i="32" l="1"/>
  <c r="D6" i="32"/>
  <c r="D8" i="32" s="1"/>
  <c r="L8" i="32"/>
  <c r="U8" i="32"/>
  <c r="Q14" i="32"/>
  <c r="Q15" i="32" s="1"/>
  <c r="R15" i="32" s="1"/>
  <c r="I8" i="32"/>
  <c r="K8" i="32"/>
  <c r="U11" i="32"/>
  <c r="R14" i="32"/>
  <c r="R13" i="32"/>
  <c r="E19" i="32" s="1"/>
  <c r="E22" i="32" s="1"/>
  <c r="Q11" i="30"/>
  <c r="N14" i="30"/>
  <c r="M14" i="30"/>
  <c r="G11" i="30"/>
  <c r="H11" i="30"/>
  <c r="I11" i="30"/>
  <c r="J11" i="30"/>
  <c r="K11" i="30"/>
  <c r="M11" i="30"/>
  <c r="N11" i="30"/>
  <c r="O11" i="30"/>
  <c r="P11" i="30"/>
  <c r="F11" i="30"/>
  <c r="F8" i="30"/>
  <c r="D39" i="30"/>
  <c r="D38" i="30"/>
  <c r="D37" i="30"/>
  <c r="D36" i="30"/>
  <c r="D35" i="30"/>
  <c r="J30" i="30"/>
  <c r="J28" i="30"/>
  <c r="J27" i="30"/>
  <c r="E25" i="30"/>
  <c r="E24" i="30"/>
  <c r="E23" i="30"/>
  <c r="D19" i="30"/>
  <c r="D18" i="30"/>
  <c r="D17" i="30"/>
  <c r="K16" i="30"/>
  <c r="K15" i="30"/>
  <c r="F15" i="30"/>
  <c r="U14" i="30"/>
  <c r="K14" i="30"/>
  <c r="H14" i="30"/>
  <c r="H16" i="30" s="1"/>
  <c r="M13" i="30"/>
  <c r="R11" i="30"/>
  <c r="R8" i="30"/>
  <c r="P8" i="30"/>
  <c r="O8" i="30"/>
  <c r="N8" i="30"/>
  <c r="M8" i="30"/>
  <c r="L8" i="30"/>
  <c r="L11" i="30" s="1"/>
  <c r="K8" i="30"/>
  <c r="I8" i="30"/>
  <c r="H8" i="30"/>
  <c r="G8" i="30"/>
  <c r="E8" i="30"/>
  <c r="E11" i="30" s="1"/>
  <c r="Q7" i="30"/>
  <c r="D7" i="30" s="1"/>
  <c r="Q6" i="30"/>
  <c r="D6" i="30" s="1"/>
  <c r="Q5" i="30"/>
  <c r="S5" i="30" s="1"/>
  <c r="Q4" i="30"/>
  <c r="S4" i="30" s="1"/>
  <c r="Q3" i="30"/>
  <c r="D3" i="30" s="1"/>
  <c r="D8" i="30" s="1"/>
  <c r="Q14" i="29"/>
  <c r="P12" i="29"/>
  <c r="G12" i="29"/>
  <c r="H12" i="29"/>
  <c r="I12" i="29"/>
  <c r="J12" i="29"/>
  <c r="K12" i="29"/>
  <c r="L12" i="29"/>
  <c r="M12" i="29"/>
  <c r="N12" i="29"/>
  <c r="O12" i="29"/>
  <c r="F12" i="29"/>
  <c r="E26" i="29"/>
  <c r="E25" i="29"/>
  <c r="E24" i="29"/>
  <c r="D20" i="29"/>
  <c r="D19" i="29"/>
  <c r="D18" i="29"/>
  <c r="U15" i="29"/>
  <c r="M14" i="29"/>
  <c r="R12" i="29"/>
  <c r="L11" i="29"/>
  <c r="R9" i="29"/>
  <c r="P9" i="29"/>
  <c r="O9" i="29"/>
  <c r="N9" i="29"/>
  <c r="M9" i="29"/>
  <c r="L9" i="29"/>
  <c r="K9" i="29"/>
  <c r="J9" i="29"/>
  <c r="I9" i="29"/>
  <c r="H9" i="29"/>
  <c r="G9" i="29"/>
  <c r="F8" i="29"/>
  <c r="Q8" i="29" s="1"/>
  <c r="S8" i="29" s="1"/>
  <c r="Q7" i="29"/>
  <c r="D7" i="29" s="1"/>
  <c r="F6" i="29"/>
  <c r="Q6" i="29" s="1"/>
  <c r="S6" i="29" s="1"/>
  <c r="F5" i="29"/>
  <c r="Q5" i="29" s="1"/>
  <c r="S5" i="29" s="1"/>
  <c r="F4" i="29"/>
  <c r="Q4" i="29" s="1"/>
  <c r="G9" i="28"/>
  <c r="G10" i="28"/>
  <c r="G11" i="28"/>
  <c r="G12" i="28"/>
  <c r="G13" i="28"/>
  <c r="G14" i="28"/>
  <c r="G15" i="28"/>
  <c r="G16" i="28"/>
  <c r="G17" i="28"/>
  <c r="G18" i="28"/>
  <c r="G19" i="28"/>
  <c r="G8" i="28"/>
  <c r="D9" i="32" l="1"/>
  <c r="D20" i="32"/>
  <c r="F20" i="32" s="1"/>
  <c r="D19" i="32"/>
  <c r="D5" i="30"/>
  <c r="T11" i="30"/>
  <c r="E27" i="30"/>
  <c r="S3" i="30"/>
  <c r="D4" i="30"/>
  <c r="D9" i="30" s="1"/>
  <c r="S7" i="30"/>
  <c r="R10" i="30"/>
  <c r="J8" i="30"/>
  <c r="Q8" i="30" s="1"/>
  <c r="G14" i="30"/>
  <c r="D5" i="29"/>
  <c r="E9" i="29"/>
  <c r="E12" i="29" s="1"/>
  <c r="D8" i="29"/>
  <c r="E28" i="29"/>
  <c r="D6" i="29"/>
  <c r="S4" i="29"/>
  <c r="D4" i="29"/>
  <c r="F9" i="29"/>
  <c r="G2" i="29"/>
  <c r="D20" i="28"/>
  <c r="E20" i="28"/>
  <c r="B20" i="28"/>
  <c r="D19" i="28"/>
  <c r="D18" i="28"/>
  <c r="D17" i="28"/>
  <c r="D16" i="28"/>
  <c r="D15" i="28"/>
  <c r="D14" i="28"/>
  <c r="D13" i="28"/>
  <c r="D12" i="28"/>
  <c r="D11" i="28"/>
  <c r="D10" i="28"/>
  <c r="D9" i="28"/>
  <c r="G20" i="28"/>
  <c r="D8" i="28"/>
  <c r="G19" i="27"/>
  <c r="G20" i="27"/>
  <c r="G21" i="27"/>
  <c r="G22" i="27"/>
  <c r="G23" i="27"/>
  <c r="G24" i="27"/>
  <c r="G25" i="27"/>
  <c r="G26" i="27"/>
  <c r="G27" i="27"/>
  <c r="G28" i="27"/>
  <c r="G29" i="27"/>
  <c r="G18" i="27"/>
  <c r="D19" i="27"/>
  <c r="D20" i="27"/>
  <c r="D21" i="27"/>
  <c r="D22" i="27"/>
  <c r="D23" i="27"/>
  <c r="D24" i="27"/>
  <c r="D25" i="27"/>
  <c r="D26" i="27"/>
  <c r="D27" i="27"/>
  <c r="D28" i="27"/>
  <c r="D29" i="27"/>
  <c r="D18" i="27"/>
  <c r="E30" i="27"/>
  <c r="B30" i="27"/>
  <c r="E7" i="27"/>
  <c r="Q10" i="27"/>
  <c r="B10" i="27" s="1"/>
  <c r="L5" i="27"/>
  <c r="Q97" i="25"/>
  <c r="P97" i="25"/>
  <c r="O97" i="25"/>
  <c r="E4" i="27"/>
  <c r="Q4" i="27" s="1"/>
  <c r="B4" i="27" s="1"/>
  <c r="D22" i="32" l="1"/>
  <c r="F14" i="30"/>
  <c r="E14" i="30" s="1"/>
  <c r="S8" i="30"/>
  <c r="Q12" i="29"/>
  <c r="D9" i="29"/>
  <c r="D10" i="29" s="1"/>
  <c r="T12" i="29"/>
  <c r="H18" i="29"/>
  <c r="Q9" i="29"/>
  <c r="Q155" i="26"/>
  <c r="G16" i="30" l="1"/>
  <c r="D20" i="30"/>
  <c r="D21" i="30" s="1"/>
  <c r="E26" i="30"/>
  <c r="E27" i="29"/>
  <c r="S9" i="29"/>
  <c r="D180" i="26"/>
  <c r="D181" i="26"/>
  <c r="D182" i="26"/>
  <c r="D183" i="26"/>
  <c r="D179" i="26"/>
  <c r="D21" i="29" l="1"/>
  <c r="D22" i="29" s="1"/>
  <c r="G17" i="29"/>
  <c r="H19" i="29"/>
  <c r="L155" i="26"/>
  <c r="L153" i="26"/>
  <c r="L42" i="26"/>
  <c r="Q41" i="26"/>
  <c r="Q40" i="26"/>
  <c r="D40" i="26"/>
  <c r="Q39" i="26"/>
  <c r="D39" i="26"/>
  <c r="Q38" i="26"/>
  <c r="D38" i="26"/>
  <c r="Q37" i="26"/>
  <c r="D37" i="26"/>
  <c r="Q36" i="26"/>
  <c r="D36" i="26"/>
  <c r="Q35" i="26"/>
  <c r="D35" i="26"/>
  <c r="Q34" i="26"/>
  <c r="D34" i="26"/>
  <c r="Q33" i="26"/>
  <c r="D33" i="26"/>
  <c r="Q32" i="26"/>
  <c r="D32" i="26"/>
  <c r="D31" i="26"/>
  <c r="Q30" i="26"/>
  <c r="D30" i="26"/>
  <c r="Q29" i="26"/>
  <c r="D29" i="26"/>
  <c r="Q28" i="26"/>
  <c r="D28" i="26"/>
  <c r="Q27" i="26"/>
  <c r="D27" i="26"/>
  <c r="Q26" i="26"/>
  <c r="D26" i="26"/>
  <c r="Q25" i="26"/>
  <c r="D25" i="26" s="1"/>
  <c r="L11" i="26"/>
  <c r="L21" i="26"/>
  <c r="L23" i="26" s="1"/>
  <c r="Q6" i="26"/>
  <c r="Q7" i="26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6" i="26"/>
  <c r="D41" i="26" l="1"/>
  <c r="D42" i="26" s="1"/>
  <c r="Q42" i="26"/>
  <c r="Q31" i="26"/>
  <c r="K153" i="26"/>
  <c r="K111" i="21"/>
  <c r="K109" i="21" l="1"/>
  <c r="K112" i="21" s="1"/>
  <c r="K113" i="21" l="1"/>
  <c r="L147" i="26"/>
  <c r="L149" i="26" s="1"/>
  <c r="K147" i="26"/>
  <c r="K21" i="26"/>
  <c r="J174" i="26"/>
  <c r="J172" i="26"/>
  <c r="J171" i="26"/>
  <c r="E169" i="26"/>
  <c r="E168" i="26"/>
  <c r="E167" i="26"/>
  <c r="D163" i="26"/>
  <c r="D162" i="26"/>
  <c r="D161" i="26"/>
  <c r="K160" i="26"/>
  <c r="K159" i="26"/>
  <c r="F159" i="26"/>
  <c r="U158" i="26"/>
  <c r="K158" i="26"/>
  <c r="H158" i="26"/>
  <c r="H160" i="26" s="1"/>
  <c r="M157" i="26"/>
  <c r="P156" i="26"/>
  <c r="O156" i="26"/>
  <c r="N156" i="26"/>
  <c r="F154" i="26"/>
  <c r="E154" i="26"/>
  <c r="J153" i="26"/>
  <c r="I153" i="26"/>
  <c r="H153" i="26"/>
  <c r="G153" i="26"/>
  <c r="F153" i="26"/>
  <c r="E153" i="26"/>
  <c r="R151" i="26"/>
  <c r="R147" i="26"/>
  <c r="P147" i="26"/>
  <c r="P149" i="26" s="1"/>
  <c r="O147" i="26"/>
  <c r="O149" i="26" s="1"/>
  <c r="N147" i="26"/>
  <c r="N149" i="26" s="1"/>
  <c r="M147" i="26"/>
  <c r="M149" i="26" s="1"/>
  <c r="I147" i="26"/>
  <c r="I151" i="26" s="1"/>
  <c r="I154" i="26" s="1"/>
  <c r="H147" i="26"/>
  <c r="G147" i="26"/>
  <c r="G149" i="26" s="1"/>
  <c r="F147" i="26"/>
  <c r="F151" i="26" s="1"/>
  <c r="E147" i="26"/>
  <c r="Q146" i="26"/>
  <c r="Q139" i="26"/>
  <c r="D139" i="26" s="1"/>
  <c r="Q138" i="26"/>
  <c r="D138" i="26" s="1"/>
  <c r="Q137" i="26"/>
  <c r="D137" i="26" s="1"/>
  <c r="Q136" i="26"/>
  <c r="D136" i="26" s="1"/>
  <c r="Q135" i="26"/>
  <c r="D135" i="26" s="1"/>
  <c r="Q133" i="26"/>
  <c r="D133" i="26" s="1"/>
  <c r="Q132" i="26"/>
  <c r="D132" i="26" s="1"/>
  <c r="Q131" i="26"/>
  <c r="D131" i="26" s="1"/>
  <c r="Q130" i="26"/>
  <c r="D130" i="26" s="1"/>
  <c r="Q129" i="26"/>
  <c r="D129" i="26" s="1"/>
  <c r="Q128" i="26"/>
  <c r="D128" i="26" s="1"/>
  <c r="Q127" i="26"/>
  <c r="D127" i="26" s="1"/>
  <c r="Q126" i="26"/>
  <c r="D126" i="26" s="1"/>
  <c r="Q125" i="26"/>
  <c r="D125" i="26" s="1"/>
  <c r="Q124" i="26"/>
  <c r="S124" i="26" s="1"/>
  <c r="Q123" i="26"/>
  <c r="D123" i="26" s="1"/>
  <c r="Q122" i="26"/>
  <c r="D122" i="26" s="1"/>
  <c r="Q121" i="26"/>
  <c r="D121" i="26" s="1"/>
  <c r="Q120" i="26"/>
  <c r="S120" i="26" s="1"/>
  <c r="Q119" i="26"/>
  <c r="D119" i="26" s="1"/>
  <c r="Q118" i="26"/>
  <c r="D118" i="26" s="1"/>
  <c r="Q117" i="26"/>
  <c r="D117" i="26" s="1"/>
  <c r="Q116" i="26"/>
  <c r="S116" i="26" s="1"/>
  <c r="Q115" i="26"/>
  <c r="D115" i="26" s="1"/>
  <c r="Q114" i="26"/>
  <c r="D114" i="26" s="1"/>
  <c r="Q113" i="26"/>
  <c r="D113" i="26" s="1"/>
  <c r="Q112" i="26"/>
  <c r="S112" i="26" s="1"/>
  <c r="Q111" i="26"/>
  <c r="D111" i="26" s="1"/>
  <c r="Q110" i="26"/>
  <c r="D110" i="26" s="1"/>
  <c r="Q109" i="26"/>
  <c r="D109" i="26" s="1"/>
  <c r="Q108" i="26"/>
  <c r="S108" i="26" s="1"/>
  <c r="Q107" i="26"/>
  <c r="D107" i="26" s="1"/>
  <c r="Q106" i="26"/>
  <c r="D106" i="26" s="1"/>
  <c r="Q105" i="26"/>
  <c r="D105" i="26" s="1"/>
  <c r="Q104" i="26"/>
  <c r="S104" i="26" s="1"/>
  <c r="Q103" i="26"/>
  <c r="D103" i="26" s="1"/>
  <c r="Q102" i="26"/>
  <c r="D102" i="26" s="1"/>
  <c r="Q101" i="26"/>
  <c r="S101" i="26" s="1"/>
  <c r="Q100" i="26"/>
  <c r="S100" i="26" s="1"/>
  <c r="Q99" i="26"/>
  <c r="D99" i="26" s="1"/>
  <c r="Q98" i="26"/>
  <c r="D98" i="26" s="1"/>
  <c r="Q97" i="26"/>
  <c r="S97" i="26" s="1"/>
  <c r="Q96" i="26"/>
  <c r="S96" i="26" s="1"/>
  <c r="Q95" i="26"/>
  <c r="D95" i="26" s="1"/>
  <c r="Q94" i="26"/>
  <c r="D94" i="26" s="1"/>
  <c r="Q93" i="26"/>
  <c r="S93" i="26" s="1"/>
  <c r="Q92" i="26"/>
  <c r="D92" i="26" s="1"/>
  <c r="Q91" i="26"/>
  <c r="D91" i="26" s="1"/>
  <c r="Q90" i="26"/>
  <c r="D90" i="26" s="1"/>
  <c r="Q89" i="26"/>
  <c r="S89" i="26" s="1"/>
  <c r="Q88" i="26"/>
  <c r="D88" i="26" s="1"/>
  <c r="Q87" i="26"/>
  <c r="D87" i="26" s="1"/>
  <c r="Q86" i="26"/>
  <c r="D86" i="26" s="1"/>
  <c r="Q85" i="26"/>
  <c r="S85" i="26" s="1"/>
  <c r="Q84" i="26"/>
  <c r="D84" i="26" s="1"/>
  <c r="Q83" i="26"/>
  <c r="D83" i="26" s="1"/>
  <c r="Q82" i="26"/>
  <c r="D82" i="26" s="1"/>
  <c r="Q81" i="26"/>
  <c r="S81" i="26" s="1"/>
  <c r="Q80" i="26"/>
  <c r="D80" i="26" s="1"/>
  <c r="Q79" i="26"/>
  <c r="D79" i="26" s="1"/>
  <c r="Q78" i="26"/>
  <c r="D78" i="26" s="1"/>
  <c r="Q77" i="26"/>
  <c r="S77" i="26" s="1"/>
  <c r="Q76" i="26"/>
  <c r="D76" i="26" s="1"/>
  <c r="Q75" i="26"/>
  <c r="D75" i="26" s="1"/>
  <c r="Q74" i="26"/>
  <c r="D74" i="26" s="1"/>
  <c r="Q73" i="26"/>
  <c r="S73" i="26" s="1"/>
  <c r="Q72" i="26"/>
  <c r="D72" i="26" s="1"/>
  <c r="Q71" i="26"/>
  <c r="D71" i="26" s="1"/>
  <c r="Q70" i="26"/>
  <c r="D70" i="26" s="1"/>
  <c r="Q69" i="26"/>
  <c r="S69" i="26" s="1"/>
  <c r="Q68" i="26"/>
  <c r="D68" i="26" s="1"/>
  <c r="Q67" i="26"/>
  <c r="D67" i="26" s="1"/>
  <c r="Q66" i="26"/>
  <c r="D66" i="26" s="1"/>
  <c r="Q65" i="26"/>
  <c r="S65" i="26" s="1"/>
  <c r="Q64" i="26"/>
  <c r="D64" i="26" s="1"/>
  <c r="Q63" i="26"/>
  <c r="D63" i="26" s="1"/>
  <c r="Q62" i="26"/>
  <c r="D62" i="26" s="1"/>
  <c r="Q61" i="26"/>
  <c r="S61" i="26" s="1"/>
  <c r="Q60" i="26"/>
  <c r="D60" i="26" s="1"/>
  <c r="Q59" i="26"/>
  <c r="D59" i="26" s="1"/>
  <c r="Q58" i="26"/>
  <c r="D58" i="26" s="1"/>
  <c r="Q57" i="26"/>
  <c r="S57" i="26" s="1"/>
  <c r="Q56" i="26"/>
  <c r="D56" i="26" s="1"/>
  <c r="Q55" i="26"/>
  <c r="D55" i="26" s="1"/>
  <c r="Q54" i="26"/>
  <c r="D54" i="26" s="1"/>
  <c r="Q53" i="26"/>
  <c r="S53" i="26" s="1"/>
  <c r="J52" i="26"/>
  <c r="Q52" i="26" s="1"/>
  <c r="Q51" i="26"/>
  <c r="D51" i="26" s="1"/>
  <c r="Q49" i="26"/>
  <c r="D49" i="26" s="1"/>
  <c r="Q48" i="26"/>
  <c r="S48" i="26" s="1"/>
  <c r="Q47" i="26"/>
  <c r="S47" i="26" s="1"/>
  <c r="Q46" i="26"/>
  <c r="D46" i="26" s="1"/>
  <c r="Q45" i="26"/>
  <c r="D45" i="26" s="1"/>
  <c r="Q44" i="26"/>
  <c r="D44" i="26" s="1"/>
  <c r="G23" i="26"/>
  <c r="E23" i="26"/>
  <c r="J5" i="26"/>
  <c r="J23" i="26" s="1"/>
  <c r="I5" i="26"/>
  <c r="I23" i="26" s="1"/>
  <c r="H5" i="26"/>
  <c r="H23" i="26" s="1"/>
  <c r="F5" i="26"/>
  <c r="H2" i="26"/>
  <c r="R120" i="21"/>
  <c r="Q121" i="21"/>
  <c r="Q120" i="21"/>
  <c r="P121" i="21"/>
  <c r="P120" i="21"/>
  <c r="O121" i="21"/>
  <c r="K107" i="21"/>
  <c r="K105" i="21"/>
  <c r="D102" i="21"/>
  <c r="Q98" i="21"/>
  <c r="D98" i="21" s="1"/>
  <c r="Q99" i="21"/>
  <c r="D99" i="21" s="1"/>
  <c r="Q100" i="21"/>
  <c r="D100" i="21" s="1"/>
  <c r="Q101" i="21"/>
  <c r="D101" i="21" s="1"/>
  <c r="Q102" i="21"/>
  <c r="Q103" i="21"/>
  <c r="Q104" i="21"/>
  <c r="K6" i="21"/>
  <c r="K5" i="21"/>
  <c r="J131" i="21"/>
  <c r="J129" i="21"/>
  <c r="J128" i="21"/>
  <c r="I156" i="26" l="1"/>
  <c r="I150" i="26"/>
  <c r="R150" i="26" s="1"/>
  <c r="D100" i="26"/>
  <c r="N151" i="26"/>
  <c r="S68" i="26"/>
  <c r="S91" i="26"/>
  <c r="D96" i="26"/>
  <c r="E156" i="26"/>
  <c r="K23" i="26"/>
  <c r="Q21" i="26"/>
  <c r="D21" i="26"/>
  <c r="D23" i="26" s="1"/>
  <c r="S46" i="26"/>
  <c r="S76" i="26"/>
  <c r="S51" i="26"/>
  <c r="S84" i="26"/>
  <c r="D104" i="26"/>
  <c r="S126" i="26"/>
  <c r="E171" i="26"/>
  <c r="D89" i="26"/>
  <c r="F156" i="26"/>
  <c r="T151" i="26"/>
  <c r="T23" i="26" s="1"/>
  <c r="Q134" i="26"/>
  <c r="D134" i="26" s="1"/>
  <c r="F149" i="26"/>
  <c r="G2" i="26"/>
  <c r="S80" i="26"/>
  <c r="S95" i="26"/>
  <c r="S103" i="26"/>
  <c r="G151" i="26"/>
  <c r="D47" i="26"/>
  <c r="S72" i="26"/>
  <c r="S88" i="26"/>
  <c r="S99" i="26"/>
  <c r="H149" i="26"/>
  <c r="O151" i="26"/>
  <c r="G154" i="26"/>
  <c r="G156" i="26" s="1"/>
  <c r="S56" i="26"/>
  <c r="S60" i="26"/>
  <c r="S64" i="26"/>
  <c r="D69" i="26"/>
  <c r="S71" i="26"/>
  <c r="D73" i="26"/>
  <c r="S75" i="26"/>
  <c r="D77" i="26"/>
  <c r="S79" i="26"/>
  <c r="D81" i="26"/>
  <c r="S83" i="26"/>
  <c r="D85" i="26"/>
  <c r="S87" i="26"/>
  <c r="S107" i="26"/>
  <c r="S111" i="26"/>
  <c r="S115" i="26"/>
  <c r="S119" i="26"/>
  <c r="S123" i="26"/>
  <c r="D53" i="26"/>
  <c r="S55" i="26"/>
  <c r="D57" i="26"/>
  <c r="S59" i="26"/>
  <c r="D61" i="26"/>
  <c r="S63" i="26"/>
  <c r="D65" i="26"/>
  <c r="S67" i="26"/>
  <c r="S92" i="26"/>
  <c r="S106" i="26"/>
  <c r="D108" i="26"/>
  <c r="S110" i="26"/>
  <c r="D112" i="26"/>
  <c r="S114" i="26"/>
  <c r="D116" i="26"/>
  <c r="S118" i="26"/>
  <c r="D120" i="26"/>
  <c r="S122" i="26"/>
  <c r="D124" i="26"/>
  <c r="D48" i="26"/>
  <c r="D93" i="26"/>
  <c r="D97" i="26"/>
  <c r="D101" i="26"/>
  <c r="K151" i="26"/>
  <c r="K154" i="26" s="1"/>
  <c r="K156" i="26" s="1"/>
  <c r="Q50" i="26"/>
  <c r="D50" i="26" s="1"/>
  <c r="Q23" i="26"/>
  <c r="S23" i="26" s="1"/>
  <c r="S52" i="26"/>
  <c r="D52" i="26"/>
  <c r="G158" i="26"/>
  <c r="E149" i="26"/>
  <c r="Q153" i="26"/>
  <c r="Q5" i="26"/>
  <c r="D5" i="26" s="1"/>
  <c r="S44" i="26"/>
  <c r="S45" i="26"/>
  <c r="S49" i="26"/>
  <c r="S54" i="26"/>
  <c r="S58" i="26"/>
  <c r="S62" i="26"/>
  <c r="S66" i="26"/>
  <c r="S70" i="26"/>
  <c r="S74" i="26"/>
  <c r="S78" i="26"/>
  <c r="S82" i="26"/>
  <c r="S86" i="26"/>
  <c r="S90" i="26"/>
  <c r="S94" i="26"/>
  <c r="S98" i="26"/>
  <c r="S102" i="26"/>
  <c r="S109" i="26"/>
  <c r="S113" i="26"/>
  <c r="S117" i="26"/>
  <c r="S121" i="26"/>
  <c r="S125" i="26"/>
  <c r="S130" i="26"/>
  <c r="J147" i="26"/>
  <c r="F158" i="26" s="1"/>
  <c r="H151" i="26"/>
  <c r="H154" i="26" s="1"/>
  <c r="H156" i="26" s="1"/>
  <c r="L151" i="26"/>
  <c r="L154" i="26" s="1"/>
  <c r="L156" i="26" s="1"/>
  <c r="P151" i="26"/>
  <c r="R153" i="26"/>
  <c r="I149" i="26"/>
  <c r="T44" i="26"/>
  <c r="E151" i="26"/>
  <c r="E115" i="21"/>
  <c r="G115" i="21"/>
  <c r="F115" i="21"/>
  <c r="D146" i="26" l="1"/>
  <c r="D147" i="26" s="1"/>
  <c r="D148" i="26"/>
  <c r="E158" i="26"/>
  <c r="K149" i="26"/>
  <c r="S50" i="26"/>
  <c r="S147" i="26" s="1"/>
  <c r="Q147" i="26"/>
  <c r="J151" i="26"/>
  <c r="J154" i="26" s="1"/>
  <c r="J149" i="26"/>
  <c r="J111" i="21"/>
  <c r="J112" i="21"/>
  <c r="Q151" i="26" l="1"/>
  <c r="Q149" i="26"/>
  <c r="J156" i="26"/>
  <c r="E170" i="26" s="1"/>
  <c r="R154" i="26"/>
  <c r="R156" i="26" s="1"/>
  <c r="Q154" i="26"/>
  <c r="D164" i="26"/>
  <c r="D165" i="26" s="1"/>
  <c r="G160" i="26"/>
  <c r="J15" i="21"/>
  <c r="Q97" i="21"/>
  <c r="D97" i="21" s="1"/>
  <c r="J6" i="21"/>
  <c r="J5" i="21"/>
  <c r="I113" i="21" l="1"/>
  <c r="I112" i="21"/>
  <c r="I111" i="21"/>
  <c r="I109" i="21"/>
  <c r="I6" i="21" l="1"/>
  <c r="I5" i="21"/>
  <c r="H112" i="21" l="1"/>
  <c r="H111" i="21"/>
  <c r="H109" i="21"/>
  <c r="Q96" i="21"/>
  <c r="D96" i="21" s="1"/>
  <c r="Q95" i="21"/>
  <c r="D95" i="21" s="1"/>
  <c r="Q94" i="21"/>
  <c r="D94" i="21" s="1"/>
  <c r="H6" i="21"/>
  <c r="H5" i="21"/>
  <c r="F111" i="21" l="1"/>
  <c r="E111" i="21"/>
  <c r="G111" i="21"/>
  <c r="H2" i="21"/>
  <c r="F116" i="21" l="1"/>
  <c r="G6" i="21" l="1"/>
  <c r="H108" i="25" l="1"/>
  <c r="H107" i="25"/>
  <c r="R74" i="24" l="1"/>
  <c r="R75" i="24"/>
  <c r="F112" i="21" l="1"/>
  <c r="F5" i="21"/>
  <c r="E112" i="21" l="1"/>
  <c r="Q91" i="21"/>
  <c r="D91" i="21" s="1"/>
  <c r="Q92" i="21"/>
  <c r="D92" i="21" s="1"/>
  <c r="Q90" i="21"/>
  <c r="D90" i="21" s="1"/>
  <c r="K117" i="21"/>
  <c r="K116" i="21"/>
  <c r="K115" i="21"/>
  <c r="E6" i="21"/>
  <c r="H117" i="21"/>
  <c r="H115" i="21"/>
  <c r="Q111" i="21" l="1"/>
  <c r="H113" i="21"/>
  <c r="L113" i="21"/>
  <c r="O113" i="21"/>
  <c r="P113" i="21"/>
  <c r="E113" i="21"/>
  <c r="F113" i="21"/>
  <c r="J113" i="21"/>
  <c r="M113" i="21"/>
  <c r="N113" i="21"/>
  <c r="E115" i="25"/>
  <c r="E114" i="25"/>
  <c r="E113" i="25"/>
  <c r="E117" i="25" s="1"/>
  <c r="D109" i="25"/>
  <c r="D108" i="25"/>
  <c r="D107" i="25"/>
  <c r="U104" i="25"/>
  <c r="M103" i="25"/>
  <c r="E102" i="25"/>
  <c r="L101" i="25"/>
  <c r="E101" i="25"/>
  <c r="P100" i="25"/>
  <c r="O100" i="25"/>
  <c r="N100" i="25"/>
  <c r="M100" i="25"/>
  <c r="L100" i="25"/>
  <c r="L102" i="25" s="1"/>
  <c r="K100" i="25"/>
  <c r="J100" i="25"/>
  <c r="I100" i="25"/>
  <c r="I102" i="25" s="1"/>
  <c r="H100" i="25"/>
  <c r="H102" i="25" s="1"/>
  <c r="G100" i="25"/>
  <c r="F100" i="25"/>
  <c r="E100" i="25"/>
  <c r="Q100" i="25" s="1"/>
  <c r="R98" i="25"/>
  <c r="K98" i="25"/>
  <c r="K101" i="25" s="1"/>
  <c r="L97" i="25"/>
  <c r="L98" i="25" s="1"/>
  <c r="R94" i="25"/>
  <c r="P94" i="25"/>
  <c r="P98" i="25" s="1"/>
  <c r="P101" i="25" s="1"/>
  <c r="O94" i="25"/>
  <c r="O98" i="25" s="1"/>
  <c r="O101" i="25" s="1"/>
  <c r="N94" i="25"/>
  <c r="N98" i="25" s="1"/>
  <c r="N101" i="25" s="1"/>
  <c r="M94" i="25"/>
  <c r="L94" i="25"/>
  <c r="K94" i="25"/>
  <c r="J94" i="25"/>
  <c r="J98" i="25" s="1"/>
  <c r="J101" i="25" s="1"/>
  <c r="I94" i="25"/>
  <c r="I98" i="25" s="1"/>
  <c r="I101" i="25" s="1"/>
  <c r="H94" i="25"/>
  <c r="H101" i="25" s="1"/>
  <c r="G94" i="25"/>
  <c r="G98" i="25" s="1"/>
  <c r="S90" i="25"/>
  <c r="Q90" i="25"/>
  <c r="D90" i="25"/>
  <c r="S89" i="25"/>
  <c r="Q89" i="25"/>
  <c r="D89" i="25" s="1"/>
  <c r="Q88" i="25"/>
  <c r="S88" i="25" s="1"/>
  <c r="F88" i="25"/>
  <c r="E88" i="25"/>
  <c r="S87" i="25"/>
  <c r="F87" i="25"/>
  <c r="E87" i="25"/>
  <c r="Q87" i="25" s="1"/>
  <c r="D87" i="25"/>
  <c r="F86" i="25"/>
  <c r="E86" i="25"/>
  <c r="F85" i="25"/>
  <c r="Q85" i="25" s="1"/>
  <c r="E85" i="25"/>
  <c r="Q84" i="25"/>
  <c r="S84" i="25" s="1"/>
  <c r="F84" i="25"/>
  <c r="E84" i="25"/>
  <c r="F83" i="25"/>
  <c r="E83" i="25"/>
  <c r="Q83" i="25" s="1"/>
  <c r="D83" i="25" s="1"/>
  <c r="F82" i="25"/>
  <c r="E82" i="25"/>
  <c r="Q82" i="25" s="1"/>
  <c r="Q81" i="25"/>
  <c r="S81" i="25" s="1"/>
  <c r="F80" i="25"/>
  <c r="E80" i="25"/>
  <c r="Q80" i="25" s="1"/>
  <c r="Q79" i="25"/>
  <c r="F79" i="25"/>
  <c r="E79" i="25"/>
  <c r="Q78" i="25"/>
  <c r="S78" i="25" s="1"/>
  <c r="F78" i="25"/>
  <c r="E78" i="25"/>
  <c r="S77" i="25"/>
  <c r="F77" i="25"/>
  <c r="E77" i="25"/>
  <c r="Q77" i="25" s="1"/>
  <c r="D77" i="25"/>
  <c r="S76" i="25"/>
  <c r="Q76" i="25"/>
  <c r="D76" i="25"/>
  <c r="S75" i="25"/>
  <c r="F75" i="25"/>
  <c r="E75" i="25"/>
  <c r="Q75" i="25" s="1"/>
  <c r="D75" i="25" s="1"/>
  <c r="F74" i="25"/>
  <c r="Q74" i="25" s="1"/>
  <c r="S74" i="25" s="1"/>
  <c r="D74" i="25"/>
  <c r="F73" i="25"/>
  <c r="E73" i="25"/>
  <c r="F72" i="25"/>
  <c r="Q72" i="25" s="1"/>
  <c r="E72" i="25"/>
  <c r="Q71" i="25"/>
  <c r="S71" i="25" s="1"/>
  <c r="F71" i="25"/>
  <c r="E71" i="25"/>
  <c r="S70" i="25"/>
  <c r="Q70" i="25"/>
  <c r="D70" i="25" s="1"/>
  <c r="S69" i="25"/>
  <c r="Q69" i="25"/>
  <c r="F69" i="25"/>
  <c r="E69" i="25"/>
  <c r="D69" i="25"/>
  <c r="Q68" i="25"/>
  <c r="D68" i="25" s="1"/>
  <c r="F67" i="25"/>
  <c r="Q67" i="25" s="1"/>
  <c r="E67" i="25"/>
  <c r="Q66" i="25"/>
  <c r="S66" i="25" s="1"/>
  <c r="F66" i="25"/>
  <c r="E66" i="25"/>
  <c r="S65" i="25"/>
  <c r="F65" i="25"/>
  <c r="E65" i="25"/>
  <c r="Q65" i="25" s="1"/>
  <c r="D65" i="25" s="1"/>
  <c r="F64" i="25"/>
  <c r="E64" i="25"/>
  <c r="Q64" i="25" s="1"/>
  <c r="Q63" i="25"/>
  <c r="F63" i="25"/>
  <c r="E63" i="25"/>
  <c r="S62" i="25"/>
  <c r="Q62" i="25"/>
  <c r="D62" i="25" s="1"/>
  <c r="F61" i="25"/>
  <c r="Q61" i="25" s="1"/>
  <c r="E61" i="25"/>
  <c r="S60" i="25"/>
  <c r="Q60" i="25"/>
  <c r="D60" i="25" s="1"/>
  <c r="F59" i="25"/>
  <c r="Q59" i="25" s="1"/>
  <c r="E59" i="25"/>
  <c r="Q58" i="25"/>
  <c r="S58" i="25" s="1"/>
  <c r="F58" i="25"/>
  <c r="E58" i="25"/>
  <c r="S57" i="25"/>
  <c r="Q57" i="25"/>
  <c r="D57" i="25" s="1"/>
  <c r="S56" i="25"/>
  <c r="Q56" i="25"/>
  <c r="F56" i="25"/>
  <c r="E56" i="25"/>
  <c r="D56" i="25"/>
  <c r="F55" i="25"/>
  <c r="E55" i="25"/>
  <c r="Q55" i="25" s="1"/>
  <c r="D55" i="25" s="1"/>
  <c r="F54" i="25"/>
  <c r="E54" i="25"/>
  <c r="Q54" i="25" s="1"/>
  <c r="Q53" i="25"/>
  <c r="F53" i="25"/>
  <c r="E53" i="25"/>
  <c r="Q52" i="25"/>
  <c r="D52" i="25" s="1"/>
  <c r="F52" i="25"/>
  <c r="Q51" i="25"/>
  <c r="S51" i="25" s="1"/>
  <c r="F51" i="25"/>
  <c r="E51" i="25"/>
  <c r="S50" i="25"/>
  <c r="Q50" i="25"/>
  <c r="D50" i="25" s="1"/>
  <c r="S49" i="25"/>
  <c r="Q49" i="25"/>
  <c r="D49" i="25" s="1"/>
  <c r="F49" i="25"/>
  <c r="S48" i="25"/>
  <c r="Q48" i="25"/>
  <c r="D48" i="25" s="1"/>
  <c r="F48" i="25"/>
  <c r="Q47" i="25"/>
  <c r="D47" i="25" s="1"/>
  <c r="F47" i="25"/>
  <c r="Q46" i="25"/>
  <c r="D46" i="25" s="1"/>
  <c r="F46" i="25"/>
  <c r="S45" i="25"/>
  <c r="Q45" i="25"/>
  <c r="F45" i="25"/>
  <c r="E45" i="25"/>
  <c r="D45" i="25"/>
  <c r="F44" i="25"/>
  <c r="E44" i="25"/>
  <c r="Q44" i="25" s="1"/>
  <c r="D44" i="25" s="1"/>
  <c r="S43" i="25"/>
  <c r="Q43" i="25"/>
  <c r="D43" i="25"/>
  <c r="F42" i="25"/>
  <c r="E42" i="25"/>
  <c r="Q42" i="25" s="1"/>
  <c r="S42" i="25" s="1"/>
  <c r="D42" i="25"/>
  <c r="F41" i="25"/>
  <c r="E41" i="25"/>
  <c r="F40" i="25"/>
  <c r="Q40" i="25" s="1"/>
  <c r="Q39" i="25"/>
  <c r="F39" i="25"/>
  <c r="E39" i="25"/>
  <c r="S38" i="25"/>
  <c r="Q38" i="25"/>
  <c r="D38" i="25" s="1"/>
  <c r="F37" i="25"/>
  <c r="Q37" i="25" s="1"/>
  <c r="E37" i="25"/>
  <c r="S36" i="25"/>
  <c r="Q36" i="25"/>
  <c r="D36" i="25" s="1"/>
  <c r="F36" i="25"/>
  <c r="S35" i="25"/>
  <c r="Q35" i="25"/>
  <c r="F35" i="25"/>
  <c r="E35" i="25"/>
  <c r="D35" i="25"/>
  <c r="F34" i="25"/>
  <c r="E34" i="25"/>
  <c r="Q34" i="25" s="1"/>
  <c r="S34" i="25" s="1"/>
  <c r="D34" i="25"/>
  <c r="F33" i="25"/>
  <c r="Q33" i="25" s="1"/>
  <c r="S33" i="25" s="1"/>
  <c r="F32" i="25"/>
  <c r="E32" i="25"/>
  <c r="Q32" i="25" s="1"/>
  <c r="Q31" i="25"/>
  <c r="F31" i="25"/>
  <c r="E31" i="25"/>
  <c r="S30" i="25"/>
  <c r="Q30" i="25"/>
  <c r="F30" i="25"/>
  <c r="E30" i="25"/>
  <c r="D30" i="25"/>
  <c r="F29" i="25"/>
  <c r="E29" i="25"/>
  <c r="Q29" i="25" s="1"/>
  <c r="S29" i="25" s="1"/>
  <c r="D29" i="25"/>
  <c r="S28" i="25"/>
  <c r="Q28" i="25"/>
  <c r="D28" i="25"/>
  <c r="S27" i="25"/>
  <c r="F27" i="25"/>
  <c r="E27" i="25"/>
  <c r="Q27" i="25" s="1"/>
  <c r="D27" i="25"/>
  <c r="F26" i="25"/>
  <c r="E26" i="25"/>
  <c r="F25" i="25"/>
  <c r="Q25" i="25" s="1"/>
  <c r="E25" i="25"/>
  <c r="S24" i="25"/>
  <c r="Q24" i="25"/>
  <c r="F24" i="25"/>
  <c r="E24" i="25"/>
  <c r="D24" i="25"/>
  <c r="S23" i="25"/>
  <c r="Q23" i="25"/>
  <c r="D23" i="25" s="1"/>
  <c r="S22" i="25"/>
  <c r="Q22" i="25"/>
  <c r="F22" i="25"/>
  <c r="E22" i="25"/>
  <c r="D22" i="25"/>
  <c r="F21" i="25"/>
  <c r="E21" i="25"/>
  <c r="Q21" i="25" s="1"/>
  <c r="S21" i="25" s="1"/>
  <c r="D21" i="25"/>
  <c r="S20" i="25"/>
  <c r="Q20" i="25"/>
  <c r="D20" i="25"/>
  <c r="S19" i="25"/>
  <c r="Q19" i="25"/>
  <c r="D19" i="25" s="1"/>
  <c r="Q18" i="25"/>
  <c r="D18" i="25" s="1"/>
  <c r="F18" i="25"/>
  <c r="S17" i="25"/>
  <c r="Q17" i="25"/>
  <c r="F17" i="25"/>
  <c r="E17" i="25"/>
  <c r="D17" i="25"/>
  <c r="S16" i="25"/>
  <c r="Q16" i="25"/>
  <c r="F16" i="25"/>
  <c r="D16" i="25"/>
  <c r="F15" i="25"/>
  <c r="E15" i="25"/>
  <c r="Q15" i="25" s="1"/>
  <c r="D15" i="25" s="1"/>
  <c r="F14" i="25"/>
  <c r="E14" i="25"/>
  <c r="Q14" i="25" s="1"/>
  <c r="Q13" i="25"/>
  <c r="S13" i="25" s="1"/>
  <c r="F12" i="25"/>
  <c r="E12" i="25"/>
  <c r="Q12" i="25" s="1"/>
  <c r="Q11" i="25"/>
  <c r="F11" i="25"/>
  <c r="E11" i="25"/>
  <c r="Q10" i="25"/>
  <c r="S10" i="25" s="1"/>
  <c r="F10" i="25"/>
  <c r="E10" i="25"/>
  <c r="S9" i="25"/>
  <c r="F9" i="25"/>
  <c r="E9" i="25"/>
  <c r="Q9" i="25" s="1"/>
  <c r="D9" i="25"/>
  <c r="F8" i="25"/>
  <c r="E8" i="25"/>
  <c r="S7" i="25"/>
  <c r="Q7" i="25"/>
  <c r="F7" i="25"/>
  <c r="E7" i="25"/>
  <c r="D7" i="25"/>
  <c r="P6" i="25"/>
  <c r="O6" i="25"/>
  <c r="M6" i="25"/>
  <c r="M96" i="25" s="1"/>
  <c r="M98" i="25" s="1"/>
  <c r="M101" i="25" s="1"/>
  <c r="L6" i="25"/>
  <c r="L96" i="25" s="1"/>
  <c r="K6" i="25"/>
  <c r="K96" i="25" s="1"/>
  <c r="J6" i="25"/>
  <c r="H6" i="25"/>
  <c r="F6" i="25"/>
  <c r="P5" i="25"/>
  <c r="N5" i="25"/>
  <c r="N6" i="25" s="1"/>
  <c r="L5" i="25"/>
  <c r="K5" i="25"/>
  <c r="J5" i="25"/>
  <c r="I5" i="25"/>
  <c r="H5" i="25"/>
  <c r="G5" i="25"/>
  <c r="G96" i="25" s="1"/>
  <c r="F5" i="25"/>
  <c r="E5" i="25"/>
  <c r="G2" i="25"/>
  <c r="S59" i="25" l="1"/>
  <c r="D59" i="25"/>
  <c r="S85" i="25"/>
  <c r="D85" i="25"/>
  <c r="D40" i="25"/>
  <c r="S40" i="25"/>
  <c r="S72" i="25"/>
  <c r="D72" i="25"/>
  <c r="P102" i="25"/>
  <c r="S61" i="25"/>
  <c r="D61" i="25"/>
  <c r="S25" i="25"/>
  <c r="D25" i="25"/>
  <c r="S37" i="25"/>
  <c r="D37" i="25"/>
  <c r="S67" i="25"/>
  <c r="D67" i="25"/>
  <c r="S11" i="25"/>
  <c r="D11" i="25"/>
  <c r="S64" i="25"/>
  <c r="D64" i="25"/>
  <c r="G102" i="25"/>
  <c r="K102" i="25"/>
  <c r="O102" i="25"/>
  <c r="S53" i="25"/>
  <c r="D53" i="25"/>
  <c r="S79" i="25"/>
  <c r="D79" i="25"/>
  <c r="E96" i="25"/>
  <c r="E6" i="25"/>
  <c r="I96" i="25"/>
  <c r="I6" i="25"/>
  <c r="G6" i="25"/>
  <c r="E94" i="25"/>
  <c r="D10" i="25"/>
  <c r="S12" i="25"/>
  <c r="D12" i="25"/>
  <c r="S14" i="25"/>
  <c r="D14" i="25"/>
  <c r="S47" i="25"/>
  <c r="S52" i="25"/>
  <c r="S54" i="25"/>
  <c r="D54" i="25"/>
  <c r="D78" i="25"/>
  <c r="S80" i="25"/>
  <c r="D80" i="25"/>
  <c r="S82" i="25"/>
  <c r="D82" i="25"/>
  <c r="D88" i="25"/>
  <c r="G101" i="25"/>
  <c r="F94" i="25"/>
  <c r="Q8" i="25"/>
  <c r="S15" i="25"/>
  <c r="S18" i="25"/>
  <c r="D33" i="25"/>
  <c r="Q41" i="25"/>
  <c r="S44" i="25"/>
  <c r="S46" i="25"/>
  <c r="D51" i="25"/>
  <c r="S55" i="25"/>
  <c r="D58" i="25"/>
  <c r="D66" i="25"/>
  <c r="D71" i="25"/>
  <c r="Q73" i="25"/>
  <c r="S83" i="25"/>
  <c r="O96" i="25"/>
  <c r="M102" i="25"/>
  <c r="S32" i="25"/>
  <c r="D32" i="25"/>
  <c r="Q5" i="25"/>
  <c r="D5" i="25" s="1"/>
  <c r="D13" i="25"/>
  <c r="Q26" i="25"/>
  <c r="S31" i="25"/>
  <c r="D31" i="25"/>
  <c r="S39" i="25"/>
  <c r="D39" i="25"/>
  <c r="S63" i="25"/>
  <c r="D63" i="25"/>
  <c r="D81" i="25"/>
  <c r="D84" i="25"/>
  <c r="Q86" i="25"/>
  <c r="H96" i="25"/>
  <c r="P96" i="25"/>
  <c r="H98" i="25"/>
  <c r="J102" i="25"/>
  <c r="N102" i="25"/>
  <c r="T7" i="25"/>
  <c r="R100" i="25"/>
  <c r="J96" i="25"/>
  <c r="N96" i="25"/>
  <c r="U115" i="21"/>
  <c r="S86" i="25" l="1"/>
  <c r="D86" i="25"/>
  <c r="H97" i="25"/>
  <c r="S26" i="25"/>
  <c r="D26" i="25"/>
  <c r="F98" i="25"/>
  <c r="F101" i="25"/>
  <c r="F96" i="25"/>
  <c r="Q96" i="25" s="1"/>
  <c r="S73" i="25"/>
  <c r="D73" i="25"/>
  <c r="S41" i="25"/>
  <c r="D41" i="25"/>
  <c r="D8" i="25"/>
  <c r="S8" i="25"/>
  <c r="E98" i="25"/>
  <c r="Q94" i="25"/>
  <c r="Q6" i="25"/>
  <c r="S6" i="25" s="1"/>
  <c r="T98" i="25"/>
  <c r="T6" i="25" s="1"/>
  <c r="S94" i="25" l="1"/>
  <c r="D95" i="25"/>
  <c r="D93" i="25"/>
  <c r="D94" i="25" s="1"/>
  <c r="Q98" i="25"/>
  <c r="F102" i="25"/>
  <c r="Q102" i="25" s="1"/>
  <c r="E116" i="25" s="1"/>
  <c r="Q101" i="25"/>
  <c r="R101" i="25"/>
  <c r="R102" i="25" s="1"/>
  <c r="P105" i="21"/>
  <c r="P109" i="21" s="1"/>
  <c r="Q8" i="21"/>
  <c r="Q9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42" i="21"/>
  <c r="Q43" i="21"/>
  <c r="Q44" i="21"/>
  <c r="Q45" i="21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Q63" i="21"/>
  <c r="Q64" i="21"/>
  <c r="Q65" i="21"/>
  <c r="Q66" i="21"/>
  <c r="Q67" i="21"/>
  <c r="Q68" i="21"/>
  <c r="Q69" i="21"/>
  <c r="Q70" i="21"/>
  <c r="Q71" i="21"/>
  <c r="Q72" i="21"/>
  <c r="Q73" i="21"/>
  <c r="Q74" i="21"/>
  <c r="Q75" i="21"/>
  <c r="Q76" i="21"/>
  <c r="Q77" i="21"/>
  <c r="Q78" i="21"/>
  <c r="Q79" i="21"/>
  <c r="Q80" i="21"/>
  <c r="Q81" i="21"/>
  <c r="Q82" i="21"/>
  <c r="Q83" i="21"/>
  <c r="Q84" i="21"/>
  <c r="Q85" i="21"/>
  <c r="Q86" i="21"/>
  <c r="Q87" i="21"/>
  <c r="Q88" i="21"/>
  <c r="Q89" i="21"/>
  <c r="Q93" i="21"/>
  <c r="Q7" i="21"/>
  <c r="Q6" i="21"/>
  <c r="Q5" i="21"/>
  <c r="D110" i="25" l="1"/>
  <c r="D111" i="25" s="1"/>
  <c r="G106" i="25"/>
  <c r="P107" i="21"/>
  <c r="D68" i="21"/>
  <c r="T7" i="21"/>
  <c r="O105" i="21"/>
  <c r="O109" i="21" l="1"/>
  <c r="O107" i="21"/>
  <c r="S13" i="21"/>
  <c r="S19" i="21"/>
  <c r="S20" i="21"/>
  <c r="S23" i="21"/>
  <c r="S28" i="21"/>
  <c r="S38" i="21"/>
  <c r="S43" i="21"/>
  <c r="S50" i="21"/>
  <c r="S57" i="21"/>
  <c r="S60" i="21"/>
  <c r="S62" i="21"/>
  <c r="S70" i="21"/>
  <c r="S76" i="21"/>
  <c r="S81" i="21"/>
  <c r="S89" i="21"/>
  <c r="S93" i="21"/>
  <c r="D23" i="21" l="1"/>
  <c r="N105" i="21" l="1"/>
  <c r="N109" i="21" s="1"/>
  <c r="D60" i="21" l="1"/>
  <c r="N107" i="21"/>
  <c r="T109" i="21" l="1"/>
  <c r="R109" i="21"/>
  <c r="D93" i="21" l="1"/>
  <c r="R105" i="21"/>
  <c r="D89" i="21"/>
  <c r="D76" i="21"/>
  <c r="L105" i="21" l="1"/>
  <c r="R111" i="21" l="1"/>
  <c r="L109" i="21"/>
  <c r="D57" i="21"/>
  <c r="L107" i="21"/>
  <c r="E57" i="24"/>
  <c r="E56" i="24"/>
  <c r="E58" i="24"/>
  <c r="E59" i="24"/>
  <c r="E60" i="24"/>
  <c r="E61" i="24"/>
  <c r="E62" i="24"/>
  <c r="E63" i="24"/>
  <c r="E64" i="24"/>
  <c r="E65" i="24"/>
  <c r="E54" i="24"/>
  <c r="E55" i="24"/>
  <c r="E46" i="24"/>
  <c r="E47" i="24"/>
  <c r="E48" i="24"/>
  <c r="E49" i="24"/>
  <c r="E50" i="24"/>
  <c r="E51" i="24"/>
  <c r="E52" i="24"/>
  <c r="E53" i="24"/>
  <c r="E45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7" i="24"/>
  <c r="F80" i="24"/>
  <c r="R70" i="24"/>
  <c r="E66" i="24" l="1"/>
  <c r="E82" i="24" l="1"/>
  <c r="E79" i="24"/>
  <c r="D82" i="24"/>
  <c r="D80" i="24"/>
  <c r="D79" i="24"/>
  <c r="Q63" i="24" l="1"/>
  <c r="Q41" i="24"/>
  <c r="R23" i="24" l="1"/>
  <c r="D23" i="24" s="1"/>
  <c r="Q49" i="24"/>
  <c r="Q31" i="24" l="1"/>
  <c r="X66" i="24"/>
  <c r="Q7" i="24"/>
  <c r="Q8" i="24"/>
  <c r="Q9" i="24"/>
  <c r="Q17" i="24"/>
  <c r="Q18" i="24"/>
  <c r="Q24" i="24"/>
  <c r="Q60" i="24"/>
  <c r="Q64" i="24"/>
  <c r="Q65" i="24"/>
  <c r="P9" i="24"/>
  <c r="Q28" i="24"/>
  <c r="Q30" i="24"/>
  <c r="R30" i="24" s="1"/>
  <c r="D30" i="24" s="1"/>
  <c r="Q29" i="24"/>
  <c r="Q35" i="24"/>
  <c r="Q26" i="24"/>
  <c r="Q25" i="24"/>
  <c r="Q12" i="24"/>
  <c r="Q21" i="24"/>
  <c r="Q22" i="24"/>
  <c r="Q36" i="24"/>
  <c r="Q42" i="24"/>
  <c r="Q55" i="24"/>
  <c r="R55" i="24" s="1"/>
  <c r="D55" i="24" s="1"/>
  <c r="Q14" i="24"/>
  <c r="Q20" i="24"/>
  <c r="Q56" i="24"/>
  <c r="Q58" i="24"/>
  <c r="Q53" i="24"/>
  <c r="Q50" i="24"/>
  <c r="Q52" i="24"/>
  <c r="Q62" i="24"/>
  <c r="Q13" i="24" l="1"/>
  <c r="Q11" i="24"/>
  <c r="Q10" i="24"/>
  <c r="T5" i="24"/>
  <c r="U5" i="24" s="1"/>
  <c r="U6" i="24" s="1"/>
  <c r="U65" i="24"/>
  <c r="U64" i="24"/>
  <c r="U63" i="24"/>
  <c r="U62" i="24"/>
  <c r="U61" i="24"/>
  <c r="U60" i="24"/>
  <c r="U59" i="24"/>
  <c r="U58" i="24"/>
  <c r="U57" i="24"/>
  <c r="U56" i="24"/>
  <c r="U55" i="24"/>
  <c r="U54" i="24"/>
  <c r="U53" i="24"/>
  <c r="U52" i="24"/>
  <c r="U51" i="24"/>
  <c r="U50" i="24"/>
  <c r="U49" i="24"/>
  <c r="U48" i="24"/>
  <c r="U47" i="24"/>
  <c r="U46" i="24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7" i="24" l="1"/>
  <c r="U69" i="24" l="1"/>
  <c r="U71" i="24"/>
  <c r="N76" i="24" l="1"/>
  <c r="P73" i="24"/>
  <c r="P75" i="24" s="1"/>
  <c r="O73" i="24"/>
  <c r="O75" i="24" s="1"/>
  <c r="N73" i="24"/>
  <c r="N75" i="24" s="1"/>
  <c r="M73" i="24"/>
  <c r="M75" i="24" s="1"/>
  <c r="L73" i="24"/>
  <c r="L75" i="24" s="1"/>
  <c r="K73" i="24"/>
  <c r="K75" i="24" s="1"/>
  <c r="J73" i="24"/>
  <c r="J75" i="24" s="1"/>
  <c r="I73" i="24"/>
  <c r="I75" i="24" s="1"/>
  <c r="H73" i="24"/>
  <c r="H75" i="24" s="1"/>
  <c r="G73" i="24"/>
  <c r="G75" i="24" s="1"/>
  <c r="F73" i="24"/>
  <c r="X72" i="24"/>
  <c r="X73" i="24" s="1"/>
  <c r="T67" i="24"/>
  <c r="P67" i="24"/>
  <c r="O67" i="24"/>
  <c r="N67" i="24"/>
  <c r="M67" i="24"/>
  <c r="M69" i="24" s="1"/>
  <c r="H67" i="24"/>
  <c r="H69" i="24" s="1"/>
  <c r="H70" i="24" s="1"/>
  <c r="G67" i="24"/>
  <c r="G69" i="24" s="1"/>
  <c r="G70" i="24" s="1"/>
  <c r="F67" i="24"/>
  <c r="F69" i="24" s="1"/>
  <c r="F70" i="24" s="1"/>
  <c r="L65" i="24"/>
  <c r="K65" i="24"/>
  <c r="R65" i="24" s="1"/>
  <c r="D65" i="24" s="1"/>
  <c r="L64" i="24"/>
  <c r="K64" i="24"/>
  <c r="R64" i="24" s="1"/>
  <c r="D64" i="24" s="1"/>
  <c r="L63" i="24"/>
  <c r="K63" i="24"/>
  <c r="R63" i="24" s="1"/>
  <c r="D63" i="24" s="1"/>
  <c r="L62" i="24"/>
  <c r="K62" i="24"/>
  <c r="R62" i="24" s="1"/>
  <c r="D62" i="24" s="1"/>
  <c r="Q61" i="24"/>
  <c r="L61" i="24"/>
  <c r="K61" i="24"/>
  <c r="R61" i="24" s="1"/>
  <c r="D61" i="24" s="1"/>
  <c r="L60" i="24"/>
  <c r="K60" i="24"/>
  <c r="R60" i="24" s="1"/>
  <c r="D60" i="24" s="1"/>
  <c r="Q59" i="24"/>
  <c r="L59" i="24"/>
  <c r="K59" i="24"/>
  <c r="I59" i="24"/>
  <c r="R59" i="24" s="1"/>
  <c r="D59" i="24" s="1"/>
  <c r="L58" i="24"/>
  <c r="K58" i="24"/>
  <c r="R58" i="24" s="1"/>
  <c r="D58" i="24" s="1"/>
  <c r="Q57" i="24"/>
  <c r="L57" i="24"/>
  <c r="K57" i="24"/>
  <c r="L56" i="24"/>
  <c r="K56" i="24"/>
  <c r="R56" i="24" s="1"/>
  <c r="D56" i="24" s="1"/>
  <c r="Q54" i="24"/>
  <c r="L54" i="24"/>
  <c r="K54" i="24"/>
  <c r="R54" i="24" s="1"/>
  <c r="D54" i="24" s="1"/>
  <c r="L53" i="24"/>
  <c r="K53" i="24"/>
  <c r="R53" i="24" s="1"/>
  <c r="D53" i="24" s="1"/>
  <c r="L52" i="24"/>
  <c r="K52" i="24"/>
  <c r="R52" i="24" s="1"/>
  <c r="D52" i="24" s="1"/>
  <c r="Q51" i="24"/>
  <c r="L51" i="24"/>
  <c r="K51" i="24"/>
  <c r="R51" i="24" s="1"/>
  <c r="D51" i="24" s="1"/>
  <c r="L50" i="24"/>
  <c r="K50" i="24"/>
  <c r="R50" i="24" s="1"/>
  <c r="D50" i="24" s="1"/>
  <c r="L49" i="24"/>
  <c r="K49" i="24"/>
  <c r="R49" i="24" s="1"/>
  <c r="D49" i="24" s="1"/>
  <c r="Q48" i="24"/>
  <c r="L48" i="24"/>
  <c r="K48" i="24"/>
  <c r="Q47" i="24"/>
  <c r="L47" i="24"/>
  <c r="K47" i="24"/>
  <c r="R47" i="24" s="1"/>
  <c r="D47" i="24" s="1"/>
  <c r="Q46" i="24"/>
  <c r="L46" i="24"/>
  <c r="K46" i="24"/>
  <c r="R46" i="24" s="1"/>
  <c r="D46" i="24" s="1"/>
  <c r="Q45" i="24"/>
  <c r="L45" i="24"/>
  <c r="K45" i="24"/>
  <c r="R45" i="24" s="1"/>
  <c r="D45" i="24" s="1"/>
  <c r="Q44" i="24"/>
  <c r="L44" i="24"/>
  <c r="K44" i="24"/>
  <c r="R44" i="24" s="1"/>
  <c r="D44" i="24" s="1"/>
  <c r="Q43" i="24"/>
  <c r="L43" i="24"/>
  <c r="K43" i="24"/>
  <c r="R43" i="24" s="1"/>
  <c r="D43" i="24" s="1"/>
  <c r="L42" i="24"/>
  <c r="K42" i="24"/>
  <c r="R42" i="24" s="1"/>
  <c r="D42" i="24" s="1"/>
  <c r="L41" i="24"/>
  <c r="K41" i="24"/>
  <c r="Q40" i="24"/>
  <c r="L40" i="24"/>
  <c r="K40" i="24"/>
  <c r="R40" i="24" s="1"/>
  <c r="D40" i="24" s="1"/>
  <c r="Q39" i="24"/>
  <c r="L39" i="24"/>
  <c r="K39" i="24"/>
  <c r="R39" i="24" s="1"/>
  <c r="D39" i="24" s="1"/>
  <c r="Q38" i="24"/>
  <c r="L38" i="24"/>
  <c r="K38" i="24"/>
  <c r="R38" i="24" s="1"/>
  <c r="D38" i="24" s="1"/>
  <c r="Q37" i="24"/>
  <c r="R37" i="24" s="1"/>
  <c r="D37" i="24" s="1"/>
  <c r="L36" i="24"/>
  <c r="K36" i="24"/>
  <c r="I36" i="24"/>
  <c r="R36" i="24" s="1"/>
  <c r="D36" i="24" s="1"/>
  <c r="L35" i="24"/>
  <c r="K35" i="24"/>
  <c r="R35" i="24" s="1"/>
  <c r="D35" i="24" s="1"/>
  <c r="Q34" i="24"/>
  <c r="L34" i="24"/>
  <c r="K34" i="24"/>
  <c r="R34" i="24" s="1"/>
  <c r="D34" i="24" s="1"/>
  <c r="Q33" i="24"/>
  <c r="L33" i="24"/>
  <c r="K33" i="24"/>
  <c r="Q32" i="24"/>
  <c r="R32" i="24" s="1"/>
  <c r="D32" i="24" s="1"/>
  <c r="L31" i="24"/>
  <c r="K31" i="24"/>
  <c r="I31" i="24"/>
  <c r="L29" i="24"/>
  <c r="K29" i="24"/>
  <c r="I29" i="24"/>
  <c r="R29" i="24" s="1"/>
  <c r="D29" i="24" s="1"/>
  <c r="L28" i="24"/>
  <c r="K28" i="24"/>
  <c r="I28" i="24"/>
  <c r="R28" i="24" s="1"/>
  <c r="D28" i="24" s="1"/>
  <c r="Q27" i="24"/>
  <c r="R27" i="24" s="1"/>
  <c r="D27" i="24" s="1"/>
  <c r="L26" i="24"/>
  <c r="K26" i="24"/>
  <c r="R26" i="24" s="1"/>
  <c r="D26" i="24" s="1"/>
  <c r="L25" i="24"/>
  <c r="K25" i="24"/>
  <c r="R25" i="24" s="1"/>
  <c r="D25" i="24" s="1"/>
  <c r="L24" i="24"/>
  <c r="K24" i="24"/>
  <c r="R24" i="24" s="1"/>
  <c r="D24" i="24" s="1"/>
  <c r="L22" i="24"/>
  <c r="K22" i="24"/>
  <c r="L21" i="24"/>
  <c r="K21" i="24"/>
  <c r="R21" i="24" s="1"/>
  <c r="D21" i="24" s="1"/>
  <c r="L20" i="24"/>
  <c r="K20" i="24"/>
  <c r="R20" i="24" s="1"/>
  <c r="D20" i="24" s="1"/>
  <c r="Q19" i="24"/>
  <c r="L19" i="24"/>
  <c r="K19" i="24"/>
  <c r="L18" i="24"/>
  <c r="K18" i="24"/>
  <c r="R18" i="24" s="1"/>
  <c r="D18" i="24" s="1"/>
  <c r="L17" i="24"/>
  <c r="K17" i="24"/>
  <c r="R17" i="24" s="1"/>
  <c r="D17" i="24" s="1"/>
  <c r="Q16" i="24"/>
  <c r="R16" i="24" s="1"/>
  <c r="D16" i="24" s="1"/>
  <c r="Q15" i="24"/>
  <c r="L15" i="24"/>
  <c r="R15" i="24" s="1"/>
  <c r="D15" i="24" s="1"/>
  <c r="L14" i="24"/>
  <c r="K14" i="24"/>
  <c r="I14" i="24"/>
  <c r="R14" i="24" s="1"/>
  <c r="D14" i="24" s="1"/>
  <c r="L13" i="24"/>
  <c r="K13" i="24"/>
  <c r="J13" i="24"/>
  <c r="L12" i="24"/>
  <c r="K12" i="24"/>
  <c r="J12" i="24"/>
  <c r="I12" i="24"/>
  <c r="R12" i="24" s="1"/>
  <c r="D12" i="24" s="1"/>
  <c r="L11" i="24"/>
  <c r="K11" i="24"/>
  <c r="J11" i="24"/>
  <c r="R11" i="24" s="1"/>
  <c r="D11" i="24" s="1"/>
  <c r="L10" i="24"/>
  <c r="K10" i="24"/>
  <c r="I10" i="24"/>
  <c r="R10" i="24" s="1"/>
  <c r="D10" i="24" s="1"/>
  <c r="L9" i="24"/>
  <c r="K9" i="24"/>
  <c r="J9" i="24"/>
  <c r="I9" i="24"/>
  <c r="R9" i="24" s="1"/>
  <c r="D9" i="24" s="1"/>
  <c r="L8" i="24"/>
  <c r="K8" i="24"/>
  <c r="J8" i="24"/>
  <c r="I8" i="24"/>
  <c r="R8" i="24" s="1"/>
  <c r="D8" i="24" s="1"/>
  <c r="L7" i="24"/>
  <c r="K7" i="24"/>
  <c r="J7" i="24"/>
  <c r="I7" i="24"/>
  <c r="Q6" i="24"/>
  <c r="O6" i="24"/>
  <c r="H6" i="24"/>
  <c r="G6" i="24"/>
  <c r="F6" i="24"/>
  <c r="P5" i="24"/>
  <c r="P6" i="24" s="1"/>
  <c r="N5" i="24"/>
  <c r="N6" i="24" s="1"/>
  <c r="M5" i="24"/>
  <c r="L5" i="24"/>
  <c r="L6" i="24" s="1"/>
  <c r="K5" i="24"/>
  <c r="K6" i="24" s="1"/>
  <c r="J5" i="24"/>
  <c r="J6" i="24" s="1"/>
  <c r="I5" i="24"/>
  <c r="R5" i="24" s="1"/>
  <c r="R31" i="24" l="1"/>
  <c r="D31" i="24" s="1"/>
  <c r="R19" i="24"/>
  <c r="D19" i="24" s="1"/>
  <c r="R57" i="24"/>
  <c r="D57" i="24" s="1"/>
  <c r="N69" i="24"/>
  <c r="N70" i="24" s="1"/>
  <c r="R7" i="24"/>
  <c r="D7" i="24" s="1"/>
  <c r="R33" i="24"/>
  <c r="D33" i="24" s="1"/>
  <c r="R48" i="24"/>
  <c r="D48" i="24" s="1"/>
  <c r="R13" i="24"/>
  <c r="D13" i="24" s="1"/>
  <c r="R22" i="24"/>
  <c r="D22" i="24" s="1"/>
  <c r="R41" i="24"/>
  <c r="D41" i="24" s="1"/>
  <c r="P69" i="24"/>
  <c r="P70" i="24" s="1"/>
  <c r="O69" i="24"/>
  <c r="O70" i="24" s="1"/>
  <c r="F75" i="24"/>
  <c r="R73" i="24"/>
  <c r="I6" i="24"/>
  <c r="L67" i="24"/>
  <c r="L69" i="24" s="1"/>
  <c r="L70" i="24" s="1"/>
  <c r="J67" i="24"/>
  <c r="J69" i="24" s="1"/>
  <c r="J70" i="24" s="1"/>
  <c r="K67" i="24"/>
  <c r="K69" i="24" s="1"/>
  <c r="K70" i="24" s="1"/>
  <c r="Q67" i="24"/>
  <c r="D5" i="24"/>
  <c r="R6" i="24"/>
  <c r="I67" i="24"/>
  <c r="I69" i="24" s="1"/>
  <c r="I70" i="24" s="1"/>
  <c r="R67" i="24" l="1"/>
  <c r="Q74" i="24"/>
  <c r="R69" i="24"/>
  <c r="Q69" i="24"/>
  <c r="D66" i="24"/>
  <c r="D67" i="24" s="1"/>
  <c r="D68" i="24"/>
  <c r="Q75" i="24" l="1"/>
  <c r="Q71" i="24"/>
  <c r="R71" i="24" l="1"/>
  <c r="Q59" i="13" l="1"/>
  <c r="Q57" i="13"/>
  <c r="T55" i="13"/>
  <c r="S9" i="13"/>
  <c r="P9" i="13"/>
  <c r="N83" i="13" l="1"/>
  <c r="N82" i="13"/>
  <c r="N81" i="13"/>
  <c r="E65" i="13"/>
  <c r="C65" i="13"/>
  <c r="C55" i="13" l="1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9" i="13"/>
  <c r="E64" i="13" l="1"/>
  <c r="E63" i="13" l="1"/>
  <c r="E66" i="13" s="1"/>
  <c r="S36" i="13" l="1"/>
  <c r="P36" i="13"/>
  <c r="S14" i="13"/>
  <c r="P16" i="13"/>
  <c r="S27" i="13"/>
  <c r="S24" i="13"/>
  <c r="P24" i="13" s="1"/>
  <c r="S15" i="13"/>
  <c r="P15" i="13" s="1"/>
  <c r="S13" i="13"/>
  <c r="P13" i="13" s="1"/>
  <c r="S11" i="13"/>
  <c r="P11" i="13" s="1"/>
  <c r="S12" i="13"/>
  <c r="P12" i="13" s="1"/>
  <c r="S10" i="13"/>
  <c r="P10" i="13"/>
  <c r="S53" i="13"/>
  <c r="P53" i="13" s="1"/>
  <c r="Q53" i="13" s="1"/>
  <c r="S52" i="13"/>
  <c r="P52" i="13" s="1"/>
  <c r="S51" i="13"/>
  <c r="P51" i="13"/>
  <c r="S50" i="13"/>
  <c r="P50" i="13"/>
  <c r="S49" i="13"/>
  <c r="P49" i="13" s="1"/>
  <c r="S47" i="13"/>
  <c r="P47" i="13" s="1"/>
  <c r="S45" i="13"/>
  <c r="P45" i="13"/>
  <c r="S43" i="13"/>
  <c r="P43" i="13" s="1"/>
  <c r="S41" i="13"/>
  <c r="P41" i="13" s="1"/>
  <c r="S40" i="13"/>
  <c r="P40" i="13"/>
  <c r="S37" i="13"/>
  <c r="S39" i="13"/>
  <c r="P39" i="13" s="1"/>
  <c r="S38" i="13"/>
  <c r="P38" i="13" s="1"/>
  <c r="S34" i="13"/>
  <c r="S32" i="13"/>
  <c r="P32" i="13" s="1"/>
  <c r="S30" i="13"/>
  <c r="P30" i="13" s="1"/>
  <c r="Q30" i="13" s="1"/>
  <c r="S29" i="13"/>
  <c r="P29" i="13" s="1"/>
  <c r="S28" i="13"/>
  <c r="P28" i="13"/>
  <c r="S26" i="13"/>
  <c r="P26" i="13" s="1"/>
  <c r="S17" i="13"/>
  <c r="P17" i="13" s="1"/>
  <c r="S19" i="13"/>
  <c r="P19" i="13" s="1"/>
  <c r="S20" i="13"/>
  <c r="P20" i="13" s="1"/>
  <c r="P14" i="13"/>
  <c r="P18" i="13"/>
  <c r="P21" i="13"/>
  <c r="P22" i="13"/>
  <c r="P23" i="13"/>
  <c r="P25" i="13"/>
  <c r="P27" i="13"/>
  <c r="P31" i="13"/>
  <c r="P33" i="13"/>
  <c r="P34" i="13"/>
  <c r="P35" i="13"/>
  <c r="P37" i="13"/>
  <c r="P42" i="13"/>
  <c r="P44" i="13"/>
  <c r="P46" i="13"/>
  <c r="P48" i="13"/>
  <c r="P54" i="13"/>
  <c r="M89" i="13"/>
  <c r="U93" i="13"/>
  <c r="N71" i="13"/>
  <c r="P57" i="13" l="1"/>
  <c r="M90" i="13" l="1"/>
  <c r="M83" i="13"/>
  <c r="N90" i="13" l="1"/>
  <c r="N91" i="13" s="1"/>
  <c r="M91" i="13"/>
  <c r="M74" i="13" l="1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9" i="13"/>
  <c r="T6" i="21" l="1"/>
  <c r="D13" i="21"/>
  <c r="E126" i="21" l="1"/>
  <c r="E124" i="21"/>
  <c r="D120" i="21"/>
  <c r="D119" i="21"/>
  <c r="D118" i="21"/>
  <c r="C72" i="5" l="1"/>
  <c r="C71" i="5"/>
  <c r="M114" i="21" l="1"/>
  <c r="J105" i="21"/>
  <c r="M105" i="21"/>
  <c r="M107" i="21" s="1"/>
  <c r="M109" i="21" s="1"/>
  <c r="I105" i="21"/>
  <c r="H105" i="21"/>
  <c r="G105" i="21"/>
  <c r="G112" i="21" s="1"/>
  <c r="D81" i="21"/>
  <c r="S74" i="21"/>
  <c r="D70" i="21"/>
  <c r="D62" i="21"/>
  <c r="S52" i="21"/>
  <c r="D50" i="21"/>
  <c r="S49" i="21"/>
  <c r="S48" i="21"/>
  <c r="S47" i="21"/>
  <c r="S46" i="21"/>
  <c r="D43" i="21"/>
  <c r="S40" i="21"/>
  <c r="D38" i="21"/>
  <c r="S36" i="21"/>
  <c r="S33" i="21"/>
  <c r="D28" i="21"/>
  <c r="S26" i="21"/>
  <c r="S24" i="21"/>
  <c r="S21" i="21"/>
  <c r="D20" i="21"/>
  <c r="D19" i="21"/>
  <c r="S18" i="21"/>
  <c r="S16" i="21"/>
  <c r="S15" i="21"/>
  <c r="S12" i="21"/>
  <c r="S10" i="21"/>
  <c r="S8" i="21"/>
  <c r="G113" i="21" l="1"/>
  <c r="Q112" i="21"/>
  <c r="S9" i="21"/>
  <c r="S11" i="21"/>
  <c r="S14" i="21"/>
  <c r="S22" i="21"/>
  <c r="S25" i="21"/>
  <c r="S27" i="21"/>
  <c r="S34" i="21"/>
  <c r="S39" i="21"/>
  <c r="S44" i="21"/>
  <c r="S53" i="21"/>
  <c r="S55" i="21"/>
  <c r="S58" i="21"/>
  <c r="S61" i="21"/>
  <c r="S71" i="21"/>
  <c r="G107" i="21"/>
  <c r="S73" i="21"/>
  <c r="S83" i="21"/>
  <c r="S85" i="21"/>
  <c r="S87" i="21"/>
  <c r="S35" i="21"/>
  <c r="S45" i="21"/>
  <c r="S17" i="21"/>
  <c r="S30" i="21"/>
  <c r="S32" i="21"/>
  <c r="S37" i="21"/>
  <c r="S42" i="21"/>
  <c r="S51" i="21"/>
  <c r="S64" i="21"/>
  <c r="S66" i="21"/>
  <c r="S69" i="21"/>
  <c r="S77" i="21"/>
  <c r="S79" i="21"/>
  <c r="S54" i="21"/>
  <c r="S56" i="21"/>
  <c r="S59" i="21"/>
  <c r="S72" i="21"/>
  <c r="S82" i="21"/>
  <c r="S84" i="21"/>
  <c r="S86" i="21"/>
  <c r="S88" i="21"/>
  <c r="S29" i="21"/>
  <c r="S31" i="21"/>
  <c r="S41" i="21"/>
  <c r="S63" i="21"/>
  <c r="S65" i="21"/>
  <c r="S67" i="21"/>
  <c r="S75" i="21"/>
  <c r="S78" i="21"/>
  <c r="S80" i="21"/>
  <c r="D5" i="21"/>
  <c r="G2" i="21"/>
  <c r="D74" i="21"/>
  <c r="S7" i="21"/>
  <c r="H107" i="21"/>
  <c r="I107" i="21"/>
  <c r="G109" i="21"/>
  <c r="E105" i="21"/>
  <c r="E109" i="21" s="1"/>
  <c r="F105" i="21"/>
  <c r="J109" i="21"/>
  <c r="Q113" i="21" l="1"/>
  <c r="Q105" i="21"/>
  <c r="S6" i="21"/>
  <c r="S105" i="21" s="1"/>
  <c r="D75" i="21"/>
  <c r="R108" i="21"/>
  <c r="D9" i="21"/>
  <c r="D61" i="21"/>
  <c r="D84" i="21"/>
  <c r="D31" i="21"/>
  <c r="D82" i="21"/>
  <c r="D58" i="21"/>
  <c r="D85" i="21"/>
  <c r="D52" i="21"/>
  <c r="D64" i="21"/>
  <c r="D42" i="21"/>
  <c r="D35" i="21"/>
  <c r="D27" i="21"/>
  <c r="D66" i="21"/>
  <c r="D54" i="21"/>
  <c r="D80" i="21"/>
  <c r="D63" i="21"/>
  <c r="D41" i="21"/>
  <c r="D87" i="21"/>
  <c r="D83" i="21"/>
  <c r="D17" i="21"/>
  <c r="D78" i="21"/>
  <c r="D77" i="21"/>
  <c r="D10" i="21"/>
  <c r="D24" i="21"/>
  <c r="D53" i="21"/>
  <c r="D56" i="21"/>
  <c r="D46" i="21"/>
  <c r="D67" i="21"/>
  <c r="D29" i="21"/>
  <c r="D47" i="21"/>
  <c r="D45" i="21"/>
  <c r="D73" i="21"/>
  <c r="D44" i="21"/>
  <c r="D65" i="21"/>
  <c r="D69" i="21"/>
  <c r="D49" i="21"/>
  <c r="D34" i="21"/>
  <c r="D16" i="21"/>
  <c r="D40" i="21"/>
  <c r="D39" i="21"/>
  <c r="D14" i="21"/>
  <c r="D79" i="21"/>
  <c r="D59" i="21"/>
  <c r="D48" i="21"/>
  <c r="D8" i="21"/>
  <c r="D37" i="21"/>
  <c r="D71" i="21"/>
  <c r="D88" i="21"/>
  <c r="D30" i="21"/>
  <c r="D18" i="21"/>
  <c r="D11" i="21"/>
  <c r="D26" i="21"/>
  <c r="D36" i="21"/>
  <c r="D15" i="21"/>
  <c r="D86" i="21"/>
  <c r="D7" i="21"/>
  <c r="D22" i="21"/>
  <c r="D21" i="21"/>
  <c r="D12" i="21"/>
  <c r="D55" i="21"/>
  <c r="D51" i="21"/>
  <c r="E107" i="21"/>
  <c r="D72" i="21"/>
  <c r="D32" i="21"/>
  <c r="D25" i="21"/>
  <c r="D33" i="21"/>
  <c r="F109" i="21"/>
  <c r="F107" i="21"/>
  <c r="J107" i="21"/>
  <c r="Q109" i="21" l="1"/>
  <c r="Q107" i="21"/>
  <c r="R112" i="21"/>
  <c r="R113" i="21" s="1"/>
  <c r="D104" i="21"/>
  <c r="D105" i="21" s="1"/>
  <c r="D106" i="21"/>
  <c r="E127" i="21" l="1"/>
  <c r="D121" i="21"/>
  <c r="D122" i="21" s="1"/>
  <c r="G117" i="21"/>
  <c r="F17" i="16"/>
  <c r="E17" i="16"/>
  <c r="D17" i="16"/>
  <c r="C17" i="16"/>
  <c r="H14" i="16"/>
  <c r="H17" i="16" s="1"/>
  <c r="G14" i="16"/>
  <c r="G17" i="16" s="1"/>
  <c r="C68" i="13"/>
  <c r="Q61" i="13"/>
  <c r="E125" i="21" s="1"/>
  <c r="E128" i="21" s="1"/>
  <c r="I57" i="13"/>
  <c r="H57" i="13"/>
  <c r="G57" i="13"/>
  <c r="F57" i="13"/>
  <c r="E57" i="13"/>
  <c r="O56" i="13"/>
  <c r="O57" i="13" s="1"/>
  <c r="N56" i="13"/>
  <c r="N57" i="13" s="1"/>
  <c r="M56" i="13"/>
  <c r="M57" i="13" s="1"/>
  <c r="L56" i="13"/>
  <c r="L57" i="13" s="1"/>
  <c r="K56" i="13"/>
  <c r="K57" i="13" s="1"/>
  <c r="J56" i="13"/>
  <c r="J57" i="13" s="1"/>
  <c r="I56" i="13"/>
  <c r="H56" i="13"/>
  <c r="G56" i="13"/>
  <c r="F56" i="13"/>
  <c r="E56" i="13"/>
  <c r="O54" i="13"/>
  <c r="P6" i="13"/>
  <c r="P59" i="13" s="1"/>
  <c r="H6" i="13"/>
  <c r="H59" i="13" s="1"/>
  <c r="G6" i="13"/>
  <c r="G59" i="13" s="1"/>
  <c r="F6" i="13"/>
  <c r="F59" i="13" s="1"/>
  <c r="E6" i="13"/>
  <c r="O3" i="13"/>
  <c r="O6" i="13" s="1"/>
  <c r="N3" i="13"/>
  <c r="N6" i="13" s="1"/>
  <c r="M3" i="13"/>
  <c r="M6" i="13" s="1"/>
  <c r="L3" i="13"/>
  <c r="L6" i="13" s="1"/>
  <c r="L59" i="13" s="1"/>
  <c r="K3" i="13"/>
  <c r="K6" i="13" s="1"/>
  <c r="J3" i="13"/>
  <c r="J6" i="13" s="1"/>
  <c r="I3" i="13"/>
  <c r="I6" i="13" s="1"/>
  <c r="E59" i="13" l="1"/>
  <c r="M59" i="13"/>
  <c r="J59" i="13"/>
  <c r="K59" i="13"/>
  <c r="Q54" i="13"/>
  <c r="N59" i="13"/>
  <c r="I59" i="13"/>
  <c r="Q6" i="13"/>
  <c r="C6" i="13" s="1"/>
  <c r="O59" i="13"/>
  <c r="Q56" i="13"/>
  <c r="Q3" i="13"/>
  <c r="C4" i="13" s="1"/>
  <c r="C63" i="13" l="1"/>
  <c r="C66" i="13" s="1"/>
  <c r="C57" i="13" l="1"/>
  <c r="R61" i="5" l="1"/>
  <c r="R63" i="5" s="1"/>
  <c r="I58" i="5" l="1"/>
  <c r="H58" i="5"/>
  <c r="G58" i="5"/>
  <c r="F58" i="5"/>
  <c r="E58" i="5"/>
  <c r="I70" i="5"/>
  <c r="Q57" i="5"/>
  <c r="C57" i="5" s="1"/>
  <c r="Q56" i="5"/>
  <c r="C56" i="5" s="1"/>
  <c r="Q55" i="5"/>
  <c r="C55" i="5" s="1"/>
  <c r="Q54" i="5"/>
  <c r="C54" i="5" s="1"/>
  <c r="Q53" i="5"/>
  <c r="C53" i="5" s="1"/>
  <c r="Q52" i="5"/>
  <c r="C52" i="5" s="1"/>
  <c r="Q51" i="5"/>
  <c r="C51" i="5" s="1"/>
  <c r="Q50" i="5"/>
  <c r="C50" i="5" s="1"/>
  <c r="Q49" i="5"/>
  <c r="C49" i="5" s="1"/>
  <c r="Q48" i="5"/>
  <c r="C48" i="5" s="1"/>
  <c r="Q47" i="5"/>
  <c r="C47" i="5" s="1"/>
  <c r="Q46" i="5"/>
  <c r="C46" i="5" s="1"/>
  <c r="Q45" i="5"/>
  <c r="C45" i="5" s="1"/>
  <c r="Q44" i="5"/>
  <c r="C44" i="5" s="1"/>
  <c r="Q43" i="5"/>
  <c r="C43" i="5" s="1"/>
  <c r="Q42" i="5"/>
  <c r="C42" i="5" s="1"/>
  <c r="Q41" i="5"/>
  <c r="C41" i="5" s="1"/>
  <c r="Q40" i="5"/>
  <c r="C40" i="5" s="1"/>
  <c r="Q39" i="5"/>
  <c r="C39" i="5" s="1"/>
  <c r="Q38" i="5"/>
  <c r="C38" i="5" s="1"/>
  <c r="Q37" i="5"/>
  <c r="C37" i="5" s="1"/>
  <c r="Q36" i="5"/>
  <c r="C36" i="5" s="1"/>
  <c r="Q35" i="5"/>
  <c r="C35" i="5" s="1"/>
  <c r="Q34" i="5"/>
  <c r="C34" i="5" s="1"/>
  <c r="Q33" i="5"/>
  <c r="C33" i="5" s="1"/>
  <c r="Q32" i="5"/>
  <c r="C32" i="5" s="1"/>
  <c r="Q31" i="5"/>
  <c r="C31" i="5" s="1"/>
  <c r="Q30" i="5"/>
  <c r="C30" i="5" s="1"/>
  <c r="Q29" i="5"/>
  <c r="C29" i="5" s="1"/>
  <c r="Q28" i="5"/>
  <c r="C28" i="5" s="1"/>
  <c r="Q27" i="5"/>
  <c r="C27" i="5" s="1"/>
  <c r="Q26" i="5"/>
  <c r="C26" i="5" s="1"/>
  <c r="Q25" i="5"/>
  <c r="C25" i="5" s="1"/>
  <c r="Q24" i="5"/>
  <c r="C24" i="5" s="1"/>
  <c r="Q23" i="5"/>
  <c r="C23" i="5" s="1"/>
  <c r="Q21" i="5"/>
  <c r="C21" i="5" s="1"/>
  <c r="Q16" i="5"/>
  <c r="C16" i="5" s="1"/>
  <c r="Q15" i="5"/>
  <c r="C15" i="5" s="1"/>
  <c r="Q20" i="5"/>
  <c r="C20" i="5" s="1"/>
  <c r="Q17" i="5"/>
  <c r="C17" i="5" s="1"/>
  <c r="Q19" i="5"/>
  <c r="C19" i="5" s="1"/>
  <c r="Q18" i="5"/>
  <c r="C18" i="5" s="1"/>
  <c r="Q14" i="5"/>
  <c r="C14" i="5" s="1"/>
  <c r="Q13" i="5"/>
  <c r="C13" i="5" s="1"/>
  <c r="Q12" i="5"/>
  <c r="C12" i="5" s="1"/>
  <c r="Q11" i="5"/>
  <c r="C11" i="5" s="1"/>
  <c r="Q10" i="5"/>
  <c r="C10" i="5" s="1"/>
  <c r="Q9" i="5"/>
  <c r="C9" i="5" s="1"/>
  <c r="Q8" i="5"/>
  <c r="C8" i="5" s="1"/>
  <c r="P6" i="5"/>
  <c r="O6" i="5"/>
  <c r="N6" i="5"/>
  <c r="M6" i="5"/>
  <c r="L6" i="5"/>
  <c r="K6" i="5"/>
  <c r="J6" i="5"/>
  <c r="G6" i="5"/>
  <c r="G66" i="5" s="1"/>
  <c r="F6" i="5"/>
  <c r="F66" i="5" s="1"/>
  <c r="E6" i="5"/>
  <c r="E66" i="5" s="1"/>
  <c r="I6" i="5"/>
  <c r="I66" i="5" s="1"/>
  <c r="H6" i="5"/>
  <c r="H66" i="5" s="1"/>
  <c r="F59" i="5" l="1"/>
  <c r="F62" i="5" s="1"/>
  <c r="G59" i="5"/>
  <c r="G62" i="5" s="1"/>
  <c r="H59" i="5"/>
  <c r="H62" i="5" s="1"/>
  <c r="F68" i="5"/>
  <c r="F69" i="5" s="1"/>
  <c r="E59" i="5"/>
  <c r="E62" i="5" s="1"/>
  <c r="I59" i="5"/>
  <c r="I62" i="5" s="1"/>
  <c r="Q6" i="5"/>
  <c r="Q5" i="5"/>
  <c r="C5" i="5" s="1"/>
  <c r="Q7" i="5"/>
  <c r="Q62" i="5" l="1"/>
  <c r="Q59" i="5"/>
  <c r="Q65" i="5"/>
  <c r="C7" i="5"/>
  <c r="Q58" i="5"/>
  <c r="C58" i="5" l="1"/>
  <c r="C59" i="5" s="1"/>
  <c r="S58" i="5"/>
  <c r="S62" i="5" s="1"/>
  <c r="C68" i="5" l="1"/>
  <c r="E69" i="5"/>
</calcChain>
</file>

<file path=xl/sharedStrings.xml><?xml version="1.0" encoding="utf-8"?>
<sst xmlns="http://schemas.openxmlformats.org/spreadsheetml/2006/main" count="877" uniqueCount="307">
  <si>
    <t>Producción global de raciones cocidas en todos los comedores productores</t>
  </si>
  <si>
    <t>Cocinas Móviles</t>
  </si>
  <si>
    <t>Cocina Móvil 1-40</t>
  </si>
  <si>
    <t xml:space="preserve">Total de Comedores 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</si>
  <si>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</si>
  <si>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</si>
  <si>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</si>
  <si>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</si>
  <si>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</si>
  <si>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</si>
  <si>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</si>
  <si>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</si>
  <si>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</si>
  <si>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</si>
  <si>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</si>
  <si>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</si>
  <si>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</si>
  <si>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</si>
  <si>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</si>
  <si>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</si>
  <si>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</si>
  <si>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</si>
  <si>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</si>
  <si>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</si>
  <si>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</si>
  <si>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</si>
  <si>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</si>
  <si>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</si>
  <si>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</si>
  <si>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</si>
  <si>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</si>
  <si>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</si>
  <si>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</si>
  <si>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</si>
  <si>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</si>
  <si>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</si>
  <si>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</si>
  <si>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</si>
  <si>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</si>
  <si>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</si>
  <si>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</si>
  <si>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</si>
  <si>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Valverde Mao</t>
  </si>
  <si>
    <t>Dajabón</t>
  </si>
  <si>
    <t>Cristóbal</t>
  </si>
  <si>
    <t>Batey 6</t>
  </si>
  <si>
    <t>Total Comedores Productores</t>
  </si>
  <si>
    <t>Total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</si>
  <si>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</si>
  <si>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</si>
  <si>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</si>
  <si>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</si>
  <si>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</si>
  <si>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</si>
  <si>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</si>
  <si>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</si>
  <si>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</si>
  <si>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</si>
  <si>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TOTAL</t>
  </si>
  <si>
    <t xml:space="preserve">COSTO </t>
  </si>
  <si>
    <t>Galván</t>
  </si>
  <si>
    <t>Postrer Rio</t>
  </si>
  <si>
    <t>Enriquillo</t>
  </si>
  <si>
    <t>Arroyo Cano</t>
  </si>
  <si>
    <t>Paraiso</t>
  </si>
  <si>
    <t>El Yaque</t>
  </si>
  <si>
    <t>NOVIEMBRE</t>
  </si>
  <si>
    <t>DICIEMBRE</t>
  </si>
  <si>
    <t>Villa GonzaleZ</t>
  </si>
  <si>
    <t>Monte cristi</t>
  </si>
  <si>
    <t>Hato Mayor</t>
  </si>
  <si>
    <t xml:space="preserve">Producción global de raciones cocidas </t>
  </si>
  <si>
    <t>cocina movil</t>
  </si>
  <si>
    <t>total</t>
  </si>
  <si>
    <t>Montecristi</t>
  </si>
  <si>
    <t>Loteria Nacional</t>
  </si>
  <si>
    <t xml:space="preserve">Producción global de raciones cocidas en todos los comedores productores </t>
  </si>
  <si>
    <t>ENERO</t>
  </si>
  <si>
    <t>FEBRERO</t>
  </si>
  <si>
    <t>SUB-TOTAL</t>
  </si>
  <si>
    <t>COCINAS MÓVILES</t>
  </si>
  <si>
    <t>COCINA MÓVIL 1-40</t>
  </si>
  <si>
    <t>TOTAL COCINAS MÓVILES</t>
  </si>
  <si>
    <t>LOS  MINA</t>
  </si>
  <si>
    <t>COCINA ADM 1</t>
  </si>
  <si>
    <t>COCINA ADM 11</t>
  </si>
  <si>
    <t>VILLA OLIMPICA</t>
  </si>
  <si>
    <t xml:space="preserve">VILLA LIBERACION </t>
  </si>
  <si>
    <t>CRISTO REY</t>
  </si>
  <si>
    <t>LOS  ALCARRIZOS</t>
  </si>
  <si>
    <t xml:space="preserve">LAS  CAOBAS </t>
  </si>
  <si>
    <t>BAYAGUANA</t>
  </si>
  <si>
    <t>SABANA GRANDE.DE BOYÁ</t>
  </si>
  <si>
    <t>MONTE PLATA</t>
  </si>
  <si>
    <t>LA ROMANA</t>
  </si>
  <si>
    <t>QUISQUEYA</t>
  </si>
  <si>
    <t>SAN PEDRO DE MACORÍS</t>
  </si>
  <si>
    <t>EL SEYBO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</si>
  <si>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</si>
  <si>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</si>
  <si>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</si>
  <si>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</si>
  <si>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</si>
  <si>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</si>
  <si>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</si>
  <si>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</si>
  <si>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</si>
  <si>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</si>
  <si>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</si>
  <si>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</si>
  <si>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</si>
  <si>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</si>
  <si>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</si>
  <si>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</si>
  <si>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VILLA GONZALES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</si>
  <si>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</si>
  <si>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</si>
  <si>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</si>
  <si>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</si>
  <si>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</si>
  <si>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</si>
  <si>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</si>
  <si>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MONTECRISTI</t>
  </si>
  <si>
    <t>DAJABÓN</t>
  </si>
  <si>
    <t>CRISTOBAL</t>
  </si>
  <si>
    <t>BATEY 6</t>
  </si>
  <si>
    <t>TOTAL COMEDORES PRODUCTORES</t>
  </si>
  <si>
    <t>Cantidad</t>
  </si>
  <si>
    <t>Monto RD$</t>
  </si>
  <si>
    <t>La cocina  costo es de 66.65</t>
  </si>
  <si>
    <t>La cocina  costo es de 65.5</t>
  </si>
  <si>
    <t>La cocina  costo es de 64.26</t>
  </si>
  <si>
    <t>La cocina  costo 61.41</t>
  </si>
  <si>
    <t>La cocina  64.77</t>
  </si>
  <si>
    <t>Use contabilidad</t>
  </si>
  <si>
    <t>Fijos de 68.43</t>
  </si>
  <si>
    <t>Fijos de 67.27</t>
  </si>
  <si>
    <t>Fijos de 68.30</t>
  </si>
  <si>
    <t>Fijos 62.72</t>
  </si>
  <si>
    <t>Fijos 66.63</t>
  </si>
  <si>
    <t xml:space="preserve">SEPTIEMBRE </t>
  </si>
  <si>
    <t xml:space="preserve">Higuey </t>
  </si>
  <si>
    <t xml:space="preserve">Mao Valverde </t>
  </si>
  <si>
    <t>Cotui</t>
  </si>
  <si>
    <t>Estebania</t>
  </si>
  <si>
    <t>UASD Barahona</t>
  </si>
  <si>
    <t>UASD San Juan De La Maguana</t>
  </si>
  <si>
    <t xml:space="preserve">NOVIEMBRE </t>
  </si>
  <si>
    <t>Villa Gonzalez</t>
  </si>
  <si>
    <t xml:space="preserve">Fijo </t>
  </si>
  <si>
    <t xml:space="preserve">Cocidas </t>
  </si>
  <si>
    <t xml:space="preserve">Crudas </t>
  </si>
  <si>
    <t>Crudas proceso</t>
  </si>
  <si>
    <t xml:space="preserve">Entrega de Raciones Crudas a Instituciones </t>
  </si>
  <si>
    <t>Mena</t>
  </si>
  <si>
    <t>Nizao</t>
  </si>
  <si>
    <t>UASD Sto.Dgo</t>
  </si>
  <si>
    <t xml:space="preserve">Villa Altagracia </t>
  </si>
  <si>
    <t>NAVIDAD  DEL CAMBIO 5,702,671</t>
  </si>
  <si>
    <t>Herrera</t>
  </si>
  <si>
    <t>Las Yayas</t>
  </si>
  <si>
    <t>Polo</t>
  </si>
  <si>
    <t>La Cienega</t>
  </si>
  <si>
    <t xml:space="preserve">Cabral </t>
  </si>
  <si>
    <t>Peñon</t>
  </si>
  <si>
    <t>Jaquimeyes</t>
  </si>
  <si>
    <t>Oviedo</t>
  </si>
  <si>
    <t>UASD San Francisco</t>
  </si>
  <si>
    <t xml:space="preserve">RELACION DE RACIONES CRUDAS </t>
  </si>
  <si>
    <t>DE AGOSTO 2020 -ABRIL 2023</t>
  </si>
  <si>
    <t>Productos</t>
  </si>
  <si>
    <t>Cantidad de Raciones Crudas a Instituciones  2021</t>
  </si>
  <si>
    <t>Inversión de Raciones Crudas a Instituciones de  2021</t>
  </si>
  <si>
    <t>Cantidad de Raciones Crudas a Instituciones 2022</t>
  </si>
  <si>
    <t>Inversión Raciones Crudas a Instituciones   2022</t>
  </si>
  <si>
    <t>Cantidad de Raciones Crudas a Instituciones  enero-abril 2023</t>
  </si>
  <si>
    <t>Inversión Raciones Crudas a Instituciones  enero-abril 2023</t>
  </si>
  <si>
    <t>Donaciones de Raciones  Crudas</t>
  </si>
  <si>
    <t>Entrega de alimentos Crudos Procuraduría General  (PGR)</t>
  </si>
  <si>
    <t xml:space="preserve">TOTAL </t>
  </si>
  <si>
    <t>CEA</t>
  </si>
  <si>
    <t>La Victoria</t>
  </si>
  <si>
    <t>Vicente Noble</t>
  </si>
  <si>
    <t>Cien Fuegos</t>
  </si>
  <si>
    <t>Jima Abajo</t>
  </si>
  <si>
    <t xml:space="preserve">Robert R. Cabral </t>
  </si>
  <si>
    <t>Padre las Casas</t>
  </si>
  <si>
    <t xml:space="preserve">Cocina normal </t>
  </si>
  <si>
    <t xml:space="preserve">Cocina Navidad </t>
  </si>
  <si>
    <t xml:space="preserve">Total </t>
  </si>
  <si>
    <t xml:space="preserve">Cuadrado </t>
  </si>
  <si>
    <t xml:space="preserve">Fijos </t>
  </si>
  <si>
    <t xml:space="preserve">Fijos Navidad </t>
  </si>
  <si>
    <t>GALVAN</t>
  </si>
  <si>
    <t>POSTRER RIO</t>
  </si>
  <si>
    <t>Fijo normal</t>
  </si>
  <si>
    <t>Navidad del Cambio</t>
  </si>
  <si>
    <t xml:space="preserve">Cuadro mio, intentando estar acorde con los reportes </t>
  </si>
  <si>
    <t xml:space="preserve">Navidad del cambio, que eran Buffet </t>
  </si>
  <si>
    <t xml:space="preserve">Navidad de cambio </t>
  </si>
  <si>
    <t xml:space="preserve">NOTA. Mía, LOS 13673247, TIENE EL TOTAL DE DICIEMBRE </t>
  </si>
  <si>
    <t>Inversión Total fijo,cocin y navidad cambio</t>
  </si>
  <si>
    <t xml:space="preserve">Cocina Móvil </t>
  </si>
  <si>
    <t xml:space="preserve">La produccion de Diciembre se cuadro asi, para cuadrar con los informe , contabilidas </t>
  </si>
  <si>
    <t xml:space="preserve">asi como con la Navidad del Cambio reportada </t>
  </si>
  <si>
    <t>VALVERDE MAO</t>
  </si>
  <si>
    <t>Cocina</t>
  </si>
  <si>
    <t xml:space="preserve">Navidad </t>
  </si>
  <si>
    <t xml:space="preserve">DICIEMBRE </t>
  </si>
  <si>
    <t xml:space="preserve">Villa Liberación  </t>
  </si>
  <si>
    <t xml:space="preserve"> Galván </t>
  </si>
  <si>
    <t xml:space="preserve"> Bohechio </t>
  </si>
  <si>
    <t xml:space="preserve"> Moca </t>
  </si>
  <si>
    <t xml:space="preserve"> Bonao </t>
  </si>
  <si>
    <t xml:space="preserve"> Postrer Rio </t>
  </si>
  <si>
    <t xml:space="preserve">Navidad de lcambio </t>
  </si>
  <si>
    <t>UAS Sto.Dgo</t>
  </si>
  <si>
    <t xml:space="preserve">Villa Altgracia </t>
  </si>
  <si>
    <t>Tamayo</t>
  </si>
  <si>
    <t xml:space="preserve">Cocina apaorte  Navidad </t>
  </si>
  <si>
    <t xml:space="preserve"> Navidad </t>
  </si>
  <si>
    <t>Fijos</t>
  </si>
  <si>
    <t>Cienfuegos</t>
  </si>
  <si>
    <t>130, 000</t>
  </si>
  <si>
    <t xml:space="preserve">Loma de Cabrera </t>
  </si>
  <si>
    <t xml:space="preserve">Rio San Juan </t>
  </si>
  <si>
    <t>El Pino</t>
  </si>
  <si>
    <t>COCINA MOVIL RD$</t>
  </si>
  <si>
    <t>FIJO RD$</t>
  </si>
  <si>
    <t xml:space="preserve">Duverge </t>
  </si>
  <si>
    <t>Yamasa</t>
  </si>
  <si>
    <t>Duverge</t>
  </si>
  <si>
    <t>UASD Bonao</t>
  </si>
  <si>
    <t>INPOSDOM</t>
  </si>
  <si>
    <t>Valiente</t>
  </si>
  <si>
    <t>Las Charcas de Maria Nova</t>
  </si>
  <si>
    <t>Batey 7</t>
  </si>
  <si>
    <t>Villa Central</t>
  </si>
  <si>
    <t>Uvilla Bahoruco</t>
  </si>
  <si>
    <t>Sabana de la Mar</t>
  </si>
  <si>
    <t>Escuela P. San Isidro</t>
  </si>
  <si>
    <t>Escuela P. Bani</t>
  </si>
  <si>
    <t>Villa Jaragua</t>
  </si>
  <si>
    <t xml:space="preserve">Los Rios </t>
  </si>
  <si>
    <t>Salinas</t>
  </si>
  <si>
    <t>Cocina Móvil 01</t>
  </si>
  <si>
    <t>Cocina Móvil 03</t>
  </si>
  <si>
    <t>Cocina Móvil 08</t>
  </si>
  <si>
    <t>Cocina Móvil 09</t>
  </si>
  <si>
    <t>Cocina Móvil 13</t>
  </si>
  <si>
    <t>Cocina Móvil 14</t>
  </si>
  <si>
    <t>Cocina Móvil 16</t>
  </si>
  <si>
    <t>Cocina Móvil 18</t>
  </si>
  <si>
    <t>Cocina Móvil 21</t>
  </si>
  <si>
    <t>Cocina Móvil 22</t>
  </si>
  <si>
    <t>Cocina Móvil 23</t>
  </si>
  <si>
    <t>Cocina Móvil 24</t>
  </si>
  <si>
    <t>Cocina Móvil 25</t>
  </si>
  <si>
    <t>Cocina Móvil 27</t>
  </si>
  <si>
    <t>Cocina Móvil 29</t>
  </si>
  <si>
    <t>Obras Públicas</t>
  </si>
  <si>
    <t>Total de Cocinas Moviles</t>
  </si>
  <si>
    <t>EXPENDIOS</t>
  </si>
  <si>
    <t>COCINAS MOVILES</t>
  </si>
  <si>
    <t>COMEDORES PRODUCTORES</t>
  </si>
  <si>
    <t>Nueva Barquita</t>
  </si>
  <si>
    <t>Capotillo</t>
  </si>
  <si>
    <t>Quita Sueño</t>
  </si>
  <si>
    <t>Sabana Larga</t>
  </si>
  <si>
    <t>Arroyo Dulce</t>
  </si>
  <si>
    <t xml:space="preserve">Los Patos </t>
  </si>
  <si>
    <t>Palo Alto</t>
  </si>
  <si>
    <t>Batey #5</t>
  </si>
  <si>
    <t>Jobos</t>
  </si>
  <si>
    <t>Juancho Centro</t>
  </si>
  <si>
    <t>Tierra Nueva</t>
  </si>
  <si>
    <t>Universidad UTECO</t>
  </si>
  <si>
    <t>Batey #8</t>
  </si>
  <si>
    <t>Batey #9</t>
  </si>
  <si>
    <t>Quita Coraza</t>
  </si>
  <si>
    <t>Canoa</t>
  </si>
  <si>
    <t>Total de Expendios</t>
  </si>
  <si>
    <t>EXPENDIOS RD$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</si>
  <si>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</si>
  <si>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</si>
  <si>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</si>
  <si>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</si>
  <si>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</si>
  <si>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</si>
  <si>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</si>
  <si>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</si>
  <si>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UASD</t>
  </si>
  <si>
    <t xml:space="preserve">Septiembre </t>
  </si>
  <si>
    <t>Octubre</t>
  </si>
  <si>
    <t>Noviembre</t>
  </si>
  <si>
    <t>Diciembre</t>
  </si>
  <si>
    <t>Septiembre</t>
  </si>
  <si>
    <t xml:space="preserve">Noviembre </t>
  </si>
  <si>
    <t>Inversión</t>
  </si>
  <si>
    <t>Costo</t>
  </si>
  <si>
    <t>Inversión RD$</t>
  </si>
  <si>
    <t xml:space="preserve">Raciones cocidas suministradas a la </t>
  </si>
  <si>
    <t xml:space="preserve">Universidad Autonoma de Santo Domingo </t>
  </si>
  <si>
    <t>Los Llanos</t>
  </si>
  <si>
    <t>Las Guaranas</t>
  </si>
  <si>
    <t>Guerra</t>
  </si>
  <si>
    <t>Cevicos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</si>
</sst>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3" formatCode="_(* #,##0.00_);_(* \(#,##0.00\);_(* &quot;-&quot;??_);_(@_)"/>
    <numFmt numFmtId="164" formatCode="#,##0;[Red]#,##0"/>
    <numFmt numFmtId="165" formatCode="#,##0.00;[Red]#,##0.00"/>
    <numFmt numFmtId="166" formatCode="_(* #,##0_);_(* \(#,##0\);_(* &quot;-&quot;??_);_(@_)"/>
    <numFmt numFmtId="167" formatCode="_-* #,##0.00\ _€_-;\-* #,##0.00\ _€_-;_-* &quot;-&quot;??\ _€_-;_-@_-"/>
    <numFmt numFmtId="168" formatCode="_-* #,##0\ _€_-;\-* #,##0\ _€_-;_-* &quot;-&quot;??\ _€_-;_-@_-"/>
    <numFmt numFmtId="169" formatCode="_(* #,##0.0_);_(* \(#,##0.0\);_(* &quot;-&quot;??_);_(@_)"/>
    <numFmt numFmtId="170" formatCode="_(* #,##0.0000_);_(* \(#,##0.0000\);_(* &quot;-&quot;??_);_(@_)"/>
    <numFmt numFmtId="171" formatCode="_(* #,##0.000_);_(* \(#,##0.000\);_(* &quot;-&quot;??_);_(@_)"/>
    <numFmt numFmtId="172" formatCode="_(* #,##0.000000_);_(* \(#,##0.000000\);_(* &quot;-&quot;??_);_(@_)"/>
    <numFmt numFmtId="173" formatCode="_(* #,##0.000000000000_);_(* \(#,##0.000000000000\);_(* &quot;-&quot;??_);_(@_)"/>
    <numFmt numFmtId="174" formatCode="_(* #,##0.00_);_(* \(#,##0.00\);_(* &quot;-&quot;_);_(@_)"/>
  </numFmts>
  <fonts count="37">
    <font>
      <sz val="11"/>
      <color theme="1"/>
      <name val="Calibri"/>
      <family val="2"/>
      <scheme val="minor"/>
    </font>
    <font>
      <sz val="11"/>
      <color rgb="FFFFFFFF"/>
      <name val="Times New Roman"/>
      <family val="1"/>
    </font>
    <font>
      <sz val="11"/>
      <color rgb="FF4C4747"/>
      <name val="Times New Roman"/>
      <family val="1"/>
    </font>
    <font>
      <b/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2"/>
      <color rgb="FF202124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rgb="FFFFFFFF"/>
      <name val="Times New Roman"/>
      <family val="1"/>
    </font>
    <font>
      <sz val="11"/>
      <color theme="0"/>
      <name val="Times New Roman"/>
      <family val="1"/>
    </font>
    <font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2"/>
      <color rgb="FF4C4747"/>
      <name val="Times New Roman"/>
      <family val="1"/>
    </font>
    <font>
      <b/>
      <sz val="12"/>
      <color rgb="FF4C4747"/>
      <name val="Times New Roman"/>
      <family val="1"/>
    </font>
    <font>
      <sz val="12"/>
      <color rgb="FFFF0000"/>
      <name val="Times New Roman"/>
      <family val="1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4C4747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2"/>
      <color rgb="FF000000"/>
      <name val="Inherit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rgb="FF4C4747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medium">
        <color rgb="FF7F7F7F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indexed="64"/>
      </right>
      <top/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 tint="-0.249977111117893"/>
      </left>
      <right/>
      <top style="thin">
        <color theme="4"/>
      </top>
      <bottom style="thin">
        <color theme="4"/>
      </bottom>
      <diagonal/>
    </border>
    <border>
      <left/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/>
      </top>
      <bottom/>
      <diagonal/>
    </border>
    <border>
      <left style="thin">
        <color theme="4"/>
      </left>
      <right style="thin">
        <color theme="4" tint="-0.249977111117893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/>
      </left>
      <right style="thin">
        <color theme="4" tint="-0.249977111117893"/>
      </right>
      <top style="thin">
        <color theme="4"/>
      </top>
      <bottom/>
      <diagonal/>
    </border>
    <border>
      <left style="thin">
        <color theme="4" tint="-0.249977111117893"/>
      </left>
      <right/>
      <top/>
      <bottom style="thin">
        <color theme="4"/>
      </bottom>
      <diagonal/>
    </border>
    <border>
      <left style="thin">
        <color theme="4" tint="-0.249977111117893"/>
      </left>
      <right style="thin">
        <color theme="4"/>
      </right>
      <top/>
      <bottom/>
      <diagonal/>
    </border>
    <border>
      <left style="thin">
        <color theme="4" tint="-0.249977111117893"/>
      </left>
      <right style="thin">
        <color theme="4"/>
      </right>
      <top style="thin">
        <color theme="4"/>
      </top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 tint="-0.249977111117893"/>
      </right>
      <top/>
      <bottom style="thin">
        <color theme="4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7F7F7F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7F7F7F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1">
    <xf numFmtId="0" fontId="0" fillId="0" borderId="0" xfId="0"/>
    <xf numFmtId="0" fontId="2" fillId="0" borderId="3" xfId="0" applyFont="1" applyBorder="1" applyAlignment="1">
      <alignment horizontal="justify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justify" vertical="center"/>
    </xf>
    <xf numFmtId="3" fontId="2" fillId="4" borderId="4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justify" vertical="center"/>
    </xf>
    <xf numFmtId="3" fontId="3" fillId="2" borderId="4" xfId="0" applyNumberFormat="1" applyFont="1" applyFill="1" applyBorder="1" applyAlignment="1">
      <alignment horizontal="right" vertical="center"/>
    </xf>
    <xf numFmtId="0" fontId="0" fillId="6" borderId="0" xfId="0" applyFill="1" applyBorder="1"/>
    <xf numFmtId="0" fontId="0" fillId="7" borderId="5" xfId="0" applyFill="1" applyBorder="1"/>
    <xf numFmtId="0" fontId="2" fillId="4" borderId="7" xfId="0" applyFont="1" applyFill="1" applyBorder="1" applyAlignment="1">
      <alignment horizontal="justify" vertical="center"/>
    </xf>
    <xf numFmtId="0" fontId="5" fillId="0" borderId="5" xfId="0" applyFon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6" borderId="5" xfId="0" applyNumberFormat="1" applyFill="1" applyBorder="1"/>
    <xf numFmtId="164" fontId="0" fillId="0" borderId="0" xfId="0" applyNumberFormat="1"/>
    <xf numFmtId="0" fontId="2" fillId="8" borderId="3" xfId="0" applyFont="1" applyFill="1" applyBorder="1" applyAlignment="1">
      <alignment horizontal="justify" vertical="center"/>
    </xf>
    <xf numFmtId="0" fontId="2" fillId="8" borderId="8" xfId="0" applyFont="1" applyFill="1" applyBorder="1" applyAlignment="1">
      <alignment horizontal="justify" vertical="center"/>
    </xf>
    <xf numFmtId="4" fontId="6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  <xf numFmtId="165" fontId="0" fillId="7" borderId="5" xfId="0" applyNumberFormat="1" applyFill="1" applyBorder="1"/>
    <xf numFmtId="43" fontId="0" fillId="0" borderId="0" xfId="0" applyNumberFormat="1"/>
    <xf numFmtId="4" fontId="0" fillId="0" borderId="0" xfId="0" applyNumberFormat="1"/>
    <xf numFmtId="166" fontId="0" fillId="0" borderId="0" xfId="0" applyNumberFormat="1"/>
    <xf numFmtId="166" fontId="0" fillId="0" borderId="5" xfId="1" applyNumberFormat="1" applyFont="1" applyBorder="1"/>
    <xf numFmtId="43" fontId="0" fillId="0" borderId="0" xfId="1" applyFont="1"/>
    <xf numFmtId="166" fontId="0" fillId="0" borderId="0" xfId="1" applyNumberFormat="1" applyFont="1"/>
    <xf numFmtId="164" fontId="8" fillId="0" borderId="5" xfId="0" applyNumberFormat="1" applyFont="1" applyBorder="1"/>
    <xf numFmtId="164" fontId="0" fillId="0" borderId="5" xfId="0" applyNumberFormat="1" applyBorder="1" applyAlignment="1">
      <alignment horizontal="right"/>
    </xf>
    <xf numFmtId="0" fontId="8" fillId="6" borderId="5" xfId="0" applyFont="1" applyFill="1" applyBorder="1"/>
    <xf numFmtId="164" fontId="8" fillId="6" borderId="5" xfId="0" applyNumberFormat="1" applyFont="1" applyFill="1" applyBorder="1"/>
    <xf numFmtId="0" fontId="8" fillId="6" borderId="5" xfId="0" applyFont="1" applyFill="1" applyBorder="1" applyAlignment="1">
      <alignment horizontal="center"/>
    </xf>
    <xf numFmtId="0" fontId="8" fillId="6" borderId="6" xfId="0" applyFont="1" applyFill="1" applyBorder="1"/>
    <xf numFmtId="164" fontId="10" fillId="6" borderId="3" xfId="0" applyNumberFormat="1" applyFont="1" applyFill="1" applyBorder="1" applyAlignment="1">
      <alignment horizontal="right" vertical="center"/>
    </xf>
    <xf numFmtId="164" fontId="8" fillId="6" borderId="0" xfId="0" applyNumberFormat="1" applyFont="1" applyFill="1"/>
    <xf numFmtId="165" fontId="0" fillId="6" borderId="5" xfId="0" applyNumberFormat="1" applyFill="1" applyBorder="1"/>
    <xf numFmtId="165" fontId="0" fillId="0" borderId="0" xfId="0" applyNumberFormat="1"/>
    <xf numFmtId="164" fontId="0" fillId="6" borderId="6" xfId="0" applyNumberFormat="1" applyFill="1" applyBorder="1"/>
    <xf numFmtId="3" fontId="0" fillId="0" borderId="0" xfId="0" applyNumberFormat="1"/>
    <xf numFmtId="3" fontId="2" fillId="8" borderId="13" xfId="0" applyNumberFormat="1" applyFont="1" applyFill="1" applyBorder="1" applyAlignment="1">
      <alignment horizontal="right" vertical="center"/>
    </xf>
    <xf numFmtId="0" fontId="0" fillId="0" borderId="0" xfId="0" applyBorder="1"/>
    <xf numFmtId="43" fontId="0" fillId="8" borderId="0" xfId="0" applyNumberFormat="1" applyFill="1"/>
    <xf numFmtId="164" fontId="0" fillId="8" borderId="5" xfId="0" applyNumberFormat="1" applyFill="1" applyBorder="1"/>
    <xf numFmtId="164" fontId="0" fillId="9" borderId="5" xfId="0" applyNumberFormat="1" applyFill="1" applyBorder="1"/>
    <xf numFmtId="0" fontId="0" fillId="8" borderId="0" xfId="0" applyFill="1"/>
    <xf numFmtId="164" fontId="0" fillId="8" borderId="0" xfId="0" applyNumberFormat="1" applyFill="1" applyBorder="1"/>
    <xf numFmtId="43" fontId="0" fillId="0" borderId="0" xfId="0" applyNumberFormat="1" applyBorder="1"/>
    <xf numFmtId="0" fontId="0" fillId="0" borderId="22" xfId="0" applyBorder="1"/>
    <xf numFmtId="0" fontId="0" fillId="8" borderId="25" xfId="0" applyFill="1" applyBorder="1"/>
    <xf numFmtId="0" fontId="8" fillId="11" borderId="5" xfId="0" applyFont="1" applyFill="1" applyBorder="1" applyAlignment="1">
      <alignment horizontal="center"/>
    </xf>
    <xf numFmtId="0" fontId="0" fillId="0" borderId="26" xfId="0" applyBorder="1"/>
    <xf numFmtId="166" fontId="0" fillId="0" borderId="0" xfId="1" applyNumberFormat="1" applyFont="1" applyBorder="1"/>
    <xf numFmtId="43" fontId="0" fillId="0" borderId="0" xfId="1" applyFont="1" applyBorder="1"/>
    <xf numFmtId="0" fontId="17" fillId="0" borderId="0" xfId="0" applyFont="1" applyBorder="1" applyAlignment="1">
      <alignment vertical="center"/>
    </xf>
    <xf numFmtId="0" fontId="0" fillId="8" borderId="0" xfId="0" applyFill="1" applyBorder="1"/>
    <xf numFmtId="0" fontId="17" fillId="0" borderId="28" xfId="0" applyFont="1" applyBorder="1" applyAlignment="1">
      <alignment vertical="center"/>
    </xf>
    <xf numFmtId="0" fontId="18" fillId="10" borderId="29" xfId="0" applyFont="1" applyFill="1" applyBorder="1" applyAlignment="1">
      <alignment vertical="center"/>
    </xf>
    <xf numFmtId="166" fontId="9" fillId="13" borderId="5" xfId="1" applyNumberFormat="1" applyFont="1" applyFill="1" applyBorder="1"/>
    <xf numFmtId="166" fontId="9" fillId="6" borderId="5" xfId="1" applyNumberFormat="1" applyFont="1" applyFill="1" applyBorder="1"/>
    <xf numFmtId="0" fontId="18" fillId="10" borderId="28" xfId="0" applyFont="1" applyFill="1" applyBorder="1" applyAlignment="1">
      <alignment vertical="center"/>
    </xf>
    <xf numFmtId="43" fontId="0" fillId="0" borderId="5" xfId="1" applyFont="1" applyBorder="1"/>
    <xf numFmtId="166" fontId="17" fillId="12" borderId="33" xfId="1" applyNumberFormat="1" applyFont="1" applyFill="1" applyBorder="1" applyAlignment="1">
      <alignment vertical="center"/>
    </xf>
    <xf numFmtId="166" fontId="17" fillId="12" borderId="34" xfId="1" applyNumberFormat="1" applyFont="1" applyFill="1" applyBorder="1" applyAlignment="1">
      <alignment horizontal="right" vertical="center"/>
    </xf>
    <xf numFmtId="166" fontId="0" fillId="0" borderId="5" xfId="1" applyNumberFormat="1" applyFont="1" applyFill="1" applyBorder="1"/>
    <xf numFmtId="166" fontId="0" fillId="8" borderId="5" xfId="1" applyNumberFormat="1" applyFont="1" applyFill="1" applyBorder="1"/>
    <xf numFmtId="168" fontId="0" fillId="0" borderId="5" xfId="1" applyNumberFormat="1" applyFont="1" applyBorder="1"/>
    <xf numFmtId="167" fontId="0" fillId="0" borderId="0" xfId="0" applyNumberFormat="1"/>
    <xf numFmtId="166" fontId="17" fillId="12" borderId="35" xfId="1" applyNumberFormat="1" applyFont="1" applyFill="1" applyBorder="1" applyAlignment="1">
      <alignment vertical="center"/>
    </xf>
    <xf numFmtId="166" fontId="17" fillId="8" borderId="35" xfId="1" applyNumberFormat="1" applyFont="1" applyFill="1" applyBorder="1" applyAlignment="1">
      <alignment vertical="center"/>
    </xf>
    <xf numFmtId="166" fontId="15" fillId="0" borderId="5" xfId="1" applyNumberFormat="1" applyFont="1" applyBorder="1"/>
    <xf numFmtId="166" fontId="0" fillId="0" borderId="36" xfId="1" applyNumberFormat="1" applyFont="1" applyFill="1" applyBorder="1"/>
    <xf numFmtId="166" fontId="17" fillId="12" borderId="31" xfId="1" applyNumberFormat="1" applyFont="1" applyFill="1" applyBorder="1" applyAlignment="1">
      <alignment vertical="center"/>
    </xf>
    <xf numFmtId="166" fontId="17" fillId="8" borderId="38" xfId="1" applyNumberFormat="1" applyFont="1" applyFill="1" applyBorder="1" applyAlignment="1">
      <alignment vertical="center"/>
    </xf>
    <xf numFmtId="166" fontId="17" fillId="8" borderId="33" xfId="1" applyNumberFormat="1" applyFont="1" applyFill="1" applyBorder="1" applyAlignment="1">
      <alignment vertical="center"/>
    </xf>
    <xf numFmtId="166" fontId="17" fillId="8" borderId="39" xfId="1" applyNumberFormat="1" applyFont="1" applyFill="1" applyBorder="1" applyAlignment="1">
      <alignment vertical="center"/>
    </xf>
    <xf numFmtId="166" fontId="0" fillId="9" borderId="5" xfId="1" applyNumberFormat="1" applyFont="1" applyFill="1" applyBorder="1"/>
    <xf numFmtId="166" fontId="17" fillId="8" borderId="40" xfId="1" applyNumberFormat="1" applyFont="1" applyFill="1" applyBorder="1" applyAlignment="1">
      <alignment vertical="center"/>
    </xf>
    <xf numFmtId="166" fontId="17" fillId="8" borderId="31" xfId="1" applyNumberFormat="1" applyFont="1" applyFill="1" applyBorder="1" applyAlignment="1">
      <alignment vertical="center"/>
    </xf>
    <xf numFmtId="166" fontId="17" fillId="12" borderId="40" xfId="1" applyNumberFormat="1" applyFont="1" applyFill="1" applyBorder="1" applyAlignment="1">
      <alignment vertical="center"/>
    </xf>
    <xf numFmtId="166" fontId="17" fillId="8" borderId="41" xfId="1" applyNumberFormat="1" applyFont="1" applyFill="1" applyBorder="1" applyAlignment="1">
      <alignment vertical="center"/>
    </xf>
    <xf numFmtId="166" fontId="17" fillId="12" borderId="41" xfId="1" applyNumberFormat="1" applyFont="1" applyFill="1" applyBorder="1" applyAlignment="1">
      <alignment vertical="center"/>
    </xf>
    <xf numFmtId="43" fontId="17" fillId="8" borderId="40" xfId="1" applyFont="1" applyFill="1" applyBorder="1" applyAlignment="1">
      <alignment vertical="center"/>
    </xf>
    <xf numFmtId="43" fontId="17" fillId="8" borderId="42" xfId="1" applyFont="1" applyFill="1" applyBorder="1" applyAlignment="1">
      <alignment vertical="center"/>
    </xf>
    <xf numFmtId="166" fontId="0" fillId="8" borderId="0" xfId="0" applyNumberFormat="1" applyFill="1"/>
    <xf numFmtId="166" fontId="0" fillId="13" borderId="5" xfId="1" applyNumberFormat="1" applyFont="1" applyFill="1" applyBorder="1"/>
    <xf numFmtId="168" fontId="0" fillId="13" borderId="5" xfId="1" applyNumberFormat="1" applyFont="1" applyFill="1" applyBorder="1"/>
    <xf numFmtId="166" fontId="0" fillId="6" borderId="5" xfId="1" applyNumberFormat="1" applyFont="1" applyFill="1" applyBorder="1"/>
    <xf numFmtId="166" fontId="0" fillId="6" borderId="0" xfId="1" applyNumberFormat="1" applyFont="1" applyFill="1" applyBorder="1"/>
    <xf numFmtId="0" fontId="12" fillId="10" borderId="41" xfId="0" applyFont="1" applyFill="1" applyBorder="1" applyAlignment="1">
      <alignment vertical="center"/>
    </xf>
    <xf numFmtId="166" fontId="0" fillId="8" borderId="0" xfId="0" applyNumberFormat="1" applyFill="1" applyBorder="1"/>
    <xf numFmtId="166" fontId="8" fillId="6" borderId="5" xfId="1" applyNumberFormat="1" applyFont="1" applyFill="1" applyBorder="1"/>
    <xf numFmtId="168" fontId="0" fillId="6" borderId="5" xfId="1" applyNumberFormat="1" applyFont="1" applyFill="1" applyBorder="1"/>
    <xf numFmtId="0" fontId="14" fillId="10" borderId="44" xfId="0" applyFont="1" applyFill="1" applyBorder="1" applyAlignment="1">
      <alignment vertical="center"/>
    </xf>
    <xf numFmtId="166" fontId="0" fillId="14" borderId="5" xfId="1" applyNumberFormat="1" applyFont="1" applyFill="1" applyBorder="1"/>
    <xf numFmtId="167" fontId="0" fillId="14" borderId="5" xfId="1" applyNumberFormat="1" applyFont="1" applyFill="1" applyBorder="1"/>
    <xf numFmtId="166" fontId="0" fillId="14" borderId="0" xfId="1" applyNumberFormat="1" applyFont="1" applyFill="1" applyBorder="1"/>
    <xf numFmtId="0" fontId="8" fillId="0" borderId="0" xfId="0" applyFont="1"/>
    <xf numFmtId="43" fontId="0" fillId="0" borderId="5" xfId="1" applyNumberFormat="1" applyFont="1" applyBorder="1"/>
    <xf numFmtId="43" fontId="0" fillId="0" borderId="5" xfId="1" applyNumberFormat="1" applyFont="1" applyFill="1" applyBorder="1"/>
    <xf numFmtId="43" fontId="0" fillId="15" borderId="5" xfId="1" applyFont="1" applyFill="1" applyBorder="1"/>
    <xf numFmtId="43" fontId="0" fillId="15" borderId="0" xfId="1" applyFont="1" applyFill="1" applyBorder="1"/>
    <xf numFmtId="166" fontId="0" fillId="0" borderId="0" xfId="0" applyNumberFormat="1" applyBorder="1"/>
    <xf numFmtId="43" fontId="0" fillId="0" borderId="0" xfId="0" applyNumberFormat="1" applyBorder="1" applyAlignment="1">
      <alignment wrapText="1"/>
    </xf>
    <xf numFmtId="169" fontId="0" fillId="0" borderId="0" xfId="0" applyNumberFormat="1" applyBorder="1" applyAlignment="1">
      <alignment wrapText="1"/>
    </xf>
    <xf numFmtId="166" fontId="0" fillId="0" borderId="0" xfId="0" applyNumberFormat="1" applyBorder="1" applyAlignment="1">
      <alignment wrapText="1"/>
    </xf>
    <xf numFmtId="43" fontId="0" fillId="0" borderId="0" xfId="0" applyNumberFormat="1" applyFill="1" applyBorder="1"/>
    <xf numFmtId="167" fontId="0" fillId="0" borderId="0" xfId="0" applyNumberFormat="1" applyBorder="1"/>
    <xf numFmtId="43" fontId="0" fillId="8" borderId="0" xfId="1" applyFont="1" applyFill="1"/>
    <xf numFmtId="4" fontId="0" fillId="8" borderId="0" xfId="0" applyNumberFormat="1" applyFill="1"/>
    <xf numFmtId="43" fontId="0" fillId="6" borderId="0" xfId="1" applyFont="1" applyFill="1"/>
    <xf numFmtId="164" fontId="4" fillId="9" borderId="51" xfId="0" applyNumberFormat="1" applyFont="1" applyFill="1" applyBorder="1" applyAlignment="1">
      <alignment vertical="center"/>
    </xf>
    <xf numFmtId="43" fontId="0" fillId="0" borderId="0" xfId="1" applyFont="1" applyAlignment="1">
      <alignment vertical="top"/>
    </xf>
    <xf numFmtId="3" fontId="2" fillId="0" borderId="5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0" fillId="6" borderId="5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 wrapText="1"/>
    </xf>
    <xf numFmtId="0" fontId="0" fillId="6" borderId="6" xfId="0" applyFill="1" applyBorder="1" applyAlignment="1">
      <alignment horizontal="center" vertical="top"/>
    </xf>
    <xf numFmtId="0" fontId="2" fillId="0" borderId="18" xfId="0" applyFont="1" applyBorder="1" applyAlignment="1">
      <alignment horizontal="justify" vertical="top"/>
    </xf>
    <xf numFmtId="3" fontId="2" fillId="8" borderId="19" xfId="0" applyNumberFormat="1" applyFont="1" applyFill="1" applyBorder="1" applyAlignment="1">
      <alignment horizontal="right" vertical="top"/>
    </xf>
    <xf numFmtId="164" fontId="0" fillId="0" borderId="5" xfId="0" applyNumberFormat="1" applyBorder="1" applyAlignment="1"/>
    <xf numFmtId="164" fontId="0" fillId="0" borderId="6" xfId="0" applyNumberFormat="1" applyBorder="1" applyAlignment="1"/>
    <xf numFmtId="0" fontId="1" fillId="2" borderId="2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right" vertical="top" wrapText="1"/>
    </xf>
    <xf numFmtId="164" fontId="0" fillId="9" borderId="5" xfId="0" applyNumberFormat="1" applyFill="1" applyBorder="1" applyAlignment="1"/>
    <xf numFmtId="164" fontId="0" fillId="9" borderId="0" xfId="0" applyNumberFormat="1" applyFill="1" applyAlignment="1"/>
    <xf numFmtId="0" fontId="2" fillId="8" borderId="12" xfId="0" applyFont="1" applyFill="1" applyBorder="1" applyAlignment="1">
      <alignment horizontal="justify"/>
    </xf>
    <xf numFmtId="3" fontId="2" fillId="8" borderId="13" xfId="0" applyNumberFormat="1" applyFont="1" applyFill="1" applyBorder="1" applyAlignment="1">
      <alignment horizontal="right" vertical="top"/>
    </xf>
    <xf numFmtId="0" fontId="2" fillId="4" borderId="12" xfId="0" applyFont="1" applyFill="1" applyBorder="1" applyAlignment="1">
      <alignment horizontal="justify"/>
    </xf>
    <xf numFmtId="3" fontId="2" fillId="4" borderId="13" xfId="0" applyNumberFormat="1" applyFont="1" applyFill="1" applyBorder="1" applyAlignment="1">
      <alignment horizontal="right" vertical="top"/>
    </xf>
    <xf numFmtId="164" fontId="0" fillId="8" borderId="6" xfId="0" applyNumberFormat="1" applyFill="1" applyBorder="1"/>
    <xf numFmtId="0" fontId="2" fillId="8" borderId="12" xfId="0" applyFont="1" applyFill="1" applyBorder="1" applyAlignment="1">
      <alignment horizontal="justify" vertical="top"/>
    </xf>
    <xf numFmtId="0" fontId="5" fillId="4" borderId="12" xfId="0" applyFont="1" applyFill="1" applyBorder="1" applyAlignment="1"/>
    <xf numFmtId="0" fontId="2" fillId="4" borderId="12" xfId="0" applyFont="1" applyFill="1" applyBorder="1" applyAlignment="1">
      <alignment horizontal="justify" vertical="top"/>
    </xf>
    <xf numFmtId="0" fontId="3" fillId="2" borderId="21" xfId="0" applyFont="1" applyFill="1" applyBorder="1" applyAlignment="1">
      <alignment horizontal="justify" vertical="top"/>
    </xf>
    <xf numFmtId="3" fontId="3" fillId="2" borderId="9" xfId="0" applyNumberFormat="1" applyFont="1" applyFill="1" applyBorder="1" applyAlignment="1">
      <alignment horizontal="right" vertical="top"/>
    </xf>
    <xf numFmtId="164" fontId="0" fillId="9" borderId="6" xfId="0" applyNumberFormat="1" applyFill="1" applyBorder="1"/>
    <xf numFmtId="0" fontId="3" fillId="8" borderId="0" xfId="0" applyFont="1" applyFill="1" applyBorder="1" applyAlignment="1">
      <alignment horizontal="justify" vertical="top"/>
    </xf>
    <xf numFmtId="3" fontId="3" fillId="8" borderId="0" xfId="0" applyNumberFormat="1" applyFont="1" applyFill="1" applyBorder="1" applyAlignment="1">
      <alignment horizontal="right" vertical="top"/>
    </xf>
    <xf numFmtId="164" fontId="0" fillId="0" borderId="0" xfId="0" applyNumberFormat="1" applyAlignment="1">
      <alignment vertical="top"/>
    </xf>
    <xf numFmtId="43" fontId="0" fillId="6" borderId="5" xfId="1" applyFont="1" applyFill="1" applyBorder="1"/>
    <xf numFmtId="43" fontId="0" fillId="6" borderId="6" xfId="1" applyFont="1" applyFill="1" applyBorder="1"/>
    <xf numFmtId="2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43" fontId="6" fillId="0" borderId="46" xfId="1" applyFont="1" applyBorder="1"/>
    <xf numFmtId="169" fontId="6" fillId="0" borderId="48" xfId="1" applyNumberFormat="1" applyFont="1" applyBorder="1"/>
    <xf numFmtId="0" fontId="6" fillId="0" borderId="47" xfId="0" applyFont="1" applyBorder="1"/>
    <xf numFmtId="4" fontId="0" fillId="16" borderId="5" xfId="0" applyNumberFormat="1" applyFill="1" applyBorder="1"/>
    <xf numFmtId="165" fontId="0" fillId="16" borderId="5" xfId="0" applyNumberFormat="1" applyFill="1" applyBorder="1"/>
    <xf numFmtId="4" fontId="0" fillId="7" borderId="5" xfId="0" applyNumberFormat="1" applyFill="1" applyBorder="1"/>
    <xf numFmtId="43" fontId="0" fillId="7" borderId="5" xfId="1" applyFont="1" applyFill="1" applyBorder="1"/>
    <xf numFmtId="43" fontId="21" fillId="0" borderId="52" xfId="1" applyFont="1" applyBorder="1"/>
    <xf numFmtId="43" fontId="6" fillId="0" borderId="0" xfId="1" applyFont="1" applyBorder="1"/>
    <xf numFmtId="0" fontId="6" fillId="0" borderId="11" xfId="0" applyFont="1" applyBorder="1"/>
    <xf numFmtId="43" fontId="6" fillId="0" borderId="52" xfId="1" applyFont="1" applyBorder="1"/>
    <xf numFmtId="43" fontId="6" fillId="0" borderId="0" xfId="0" applyNumberFormat="1" applyFont="1" applyBorder="1"/>
    <xf numFmtId="43" fontId="6" fillId="0" borderId="49" xfId="1" applyFont="1" applyBorder="1"/>
    <xf numFmtId="0" fontId="6" fillId="0" borderId="50" xfId="0" applyFont="1" applyBorder="1"/>
    <xf numFmtId="0" fontId="6" fillId="0" borderId="9" xfId="0" applyFont="1" applyBorder="1"/>
    <xf numFmtId="43" fontId="15" fillId="0" borderId="0" xfId="1" applyFont="1"/>
    <xf numFmtId="170" fontId="0" fillId="0" borderId="0" xfId="1" applyNumberFormat="1" applyFont="1"/>
    <xf numFmtId="43" fontId="8" fillId="17" borderId="5" xfId="1" applyFont="1" applyFill="1" applyBorder="1"/>
    <xf numFmtId="43" fontId="8" fillId="17" borderId="5" xfId="0" applyNumberFormat="1" applyFont="1" applyFill="1" applyBorder="1"/>
    <xf numFmtId="43" fontId="6" fillId="0" borderId="0" xfId="0" applyNumberFormat="1" applyFont="1"/>
    <xf numFmtId="43" fontId="22" fillId="0" borderId="0" xfId="1" applyFont="1" applyBorder="1" applyAlignment="1">
      <alignment vertical="top"/>
    </xf>
    <xf numFmtId="4" fontId="15" fillId="0" borderId="0" xfId="0" applyNumberFormat="1" applyFont="1"/>
    <xf numFmtId="164" fontId="15" fillId="0" borderId="0" xfId="0" applyNumberFormat="1" applyFont="1"/>
    <xf numFmtId="0" fontId="24" fillId="0" borderId="0" xfId="0" applyFont="1"/>
    <xf numFmtId="0" fontId="14" fillId="18" borderId="54" xfId="0" applyFont="1" applyFill="1" applyBorder="1" applyAlignment="1">
      <alignment horizontal="center" vertical="top" wrapText="1"/>
    </xf>
    <xf numFmtId="0" fontId="25" fillId="6" borderId="55" xfId="0" applyFont="1" applyFill="1" applyBorder="1" applyAlignment="1">
      <alignment horizontal="center" vertical="top" wrapText="1"/>
    </xf>
    <xf numFmtId="0" fontId="25" fillId="17" borderId="55" xfId="0" applyFont="1" applyFill="1" applyBorder="1" applyAlignment="1">
      <alignment horizontal="center" vertical="top" wrapText="1"/>
    </xf>
    <xf numFmtId="0" fontId="25" fillId="17" borderId="56" xfId="0" applyFont="1" applyFill="1" applyBorder="1" applyAlignment="1">
      <alignment horizontal="center" vertical="top" wrapText="1"/>
    </xf>
    <xf numFmtId="0" fontId="25" fillId="19" borderId="10" xfId="0" applyFont="1" applyFill="1" applyBorder="1" applyAlignment="1">
      <alignment horizontal="center" vertical="top" wrapText="1"/>
    </xf>
    <xf numFmtId="0" fontId="25" fillId="19" borderId="47" xfId="0" applyFont="1" applyFill="1" applyBorder="1" applyAlignment="1">
      <alignment horizontal="center" vertical="top" wrapText="1"/>
    </xf>
    <xf numFmtId="0" fontId="26" fillId="0" borderId="57" xfId="0" applyFont="1" applyBorder="1" applyAlignment="1">
      <alignment vertical="top" wrapText="1"/>
    </xf>
    <xf numFmtId="3" fontId="0" fillId="0" borderId="5" xfId="0" applyNumberFormat="1" applyBorder="1" applyAlignment="1">
      <alignment vertical="top"/>
    </xf>
    <xf numFmtId="0" fontId="0" fillId="0" borderId="5" xfId="0" applyBorder="1" applyAlignment="1">
      <alignment vertical="top"/>
    </xf>
    <xf numFmtId="4" fontId="2" fillId="0" borderId="5" xfId="0" applyNumberFormat="1" applyFont="1" applyBorder="1" applyAlignment="1">
      <alignment vertical="top"/>
    </xf>
    <xf numFmtId="166" fontId="0" fillId="0" borderId="13" xfId="0" applyNumberFormat="1" applyBorder="1"/>
    <xf numFmtId="0" fontId="26" fillId="0" borderId="12" xfId="0" applyFont="1" applyBorder="1" applyAlignment="1">
      <alignment vertical="top" wrapText="1"/>
    </xf>
    <xf numFmtId="4" fontId="0" fillId="0" borderId="5" xfId="0" applyNumberFormat="1" applyBorder="1" applyAlignment="1">
      <alignment vertical="top"/>
    </xf>
    <xf numFmtId="166" fontId="0" fillId="0" borderId="5" xfId="1" applyNumberFormat="1" applyFont="1" applyBorder="1" applyAlignment="1">
      <alignment vertical="top"/>
    </xf>
    <xf numFmtId="4" fontId="0" fillId="0" borderId="6" xfId="0" applyNumberFormat="1" applyBorder="1" applyAlignment="1">
      <alignment vertical="top"/>
    </xf>
    <xf numFmtId="43" fontId="0" fillId="0" borderId="13" xfId="1" applyFont="1" applyBorder="1" applyAlignment="1">
      <alignment vertical="top"/>
    </xf>
    <xf numFmtId="43" fontId="0" fillId="0" borderId="6" xfId="1" applyFont="1" applyBorder="1" applyAlignment="1">
      <alignment vertical="top"/>
    </xf>
    <xf numFmtId="0" fontId="0" fillId="5" borderId="0" xfId="0" applyFill="1"/>
    <xf numFmtId="166" fontId="27" fillId="8" borderId="58" xfId="1" applyNumberFormat="1" applyFont="1" applyFill="1" applyBorder="1" applyAlignment="1">
      <alignment vertical="center" wrapText="1"/>
    </xf>
    <xf numFmtId="166" fontId="27" fillId="8" borderId="53" xfId="1" applyNumberFormat="1" applyFont="1" applyFill="1" applyBorder="1" applyAlignment="1">
      <alignment horizontal="right" vertical="top" wrapText="1"/>
    </xf>
    <xf numFmtId="43" fontId="25" fillId="0" borderId="53" xfId="1" applyFont="1" applyBorder="1" applyAlignment="1">
      <alignment horizontal="center" vertical="top"/>
    </xf>
    <xf numFmtId="166" fontId="28" fillId="8" borderId="53" xfId="1" applyNumberFormat="1" applyFont="1" applyFill="1" applyBorder="1" applyAlignment="1">
      <alignment horizontal="right" vertical="top" wrapText="1"/>
    </xf>
    <xf numFmtId="4" fontId="28" fillId="0" borderId="59" xfId="0" applyNumberFormat="1" applyFont="1" applyBorder="1" applyAlignment="1">
      <alignment vertical="top"/>
    </xf>
    <xf numFmtId="166" fontId="8" fillId="0" borderId="50" xfId="1" applyNumberFormat="1" applyFont="1" applyBorder="1" applyAlignment="1">
      <alignment vertical="top"/>
    </xf>
    <xf numFmtId="43" fontId="20" fillId="0" borderId="9" xfId="1" applyFont="1" applyBorder="1" applyAlignment="1">
      <alignment vertical="top"/>
    </xf>
    <xf numFmtId="43" fontId="0" fillId="5" borderId="0" xfId="1" applyFont="1" applyFill="1"/>
    <xf numFmtId="166" fontId="27" fillId="8" borderId="0" xfId="1" applyNumberFormat="1" applyFont="1" applyFill="1" applyBorder="1" applyAlignment="1">
      <alignment vertical="center" wrapText="1"/>
    </xf>
    <xf numFmtId="166" fontId="27" fillId="8" borderId="0" xfId="1" applyNumberFormat="1" applyFont="1" applyFill="1" applyBorder="1" applyAlignment="1">
      <alignment horizontal="right" vertical="center" wrapText="1"/>
    </xf>
    <xf numFmtId="43" fontId="25" fillId="0" borderId="0" xfId="1" applyFont="1" applyBorder="1" applyAlignment="1">
      <alignment horizontal="center"/>
    </xf>
    <xf numFmtId="166" fontId="28" fillId="8" borderId="0" xfId="1" applyNumberFormat="1" applyFont="1" applyFill="1" applyBorder="1" applyAlignment="1">
      <alignment horizontal="right" vertical="center" wrapText="1"/>
    </xf>
    <xf numFmtId="4" fontId="28" fillId="0" borderId="0" xfId="0" applyNumberFormat="1" applyFont="1" applyBorder="1"/>
    <xf numFmtId="0" fontId="0" fillId="5" borderId="0" xfId="0" applyFill="1" applyBorder="1"/>
    <xf numFmtId="0" fontId="19" fillId="8" borderId="0" xfId="0" applyFont="1" applyFill="1" applyBorder="1" applyAlignment="1">
      <alignment horizontal="right" vertical="center"/>
    </xf>
    <xf numFmtId="166" fontId="0" fillId="0" borderId="0" xfId="1" applyNumberFormat="1" applyFont="1" applyFill="1" applyBorder="1"/>
    <xf numFmtId="0" fontId="0" fillId="0" borderId="0" xfId="0" applyFill="1" applyBorder="1"/>
    <xf numFmtId="43" fontId="29" fillId="0" borderId="0" xfId="0" applyNumberFormat="1" applyFont="1" applyAlignment="1">
      <alignment vertical="center" wrapText="1"/>
    </xf>
    <xf numFmtId="164" fontId="22" fillId="8" borderId="0" xfId="0" applyNumberFormat="1" applyFont="1" applyFill="1" applyBorder="1"/>
    <xf numFmtId="43" fontId="22" fillId="0" borderId="0" xfId="1" applyFont="1" applyBorder="1"/>
    <xf numFmtId="43" fontId="22" fillId="0" borderId="0" xfId="0" applyNumberFormat="1" applyFont="1" applyBorder="1"/>
    <xf numFmtId="172" fontId="0" fillId="0" borderId="0" xfId="1" applyNumberFormat="1" applyFont="1"/>
    <xf numFmtId="0" fontId="0" fillId="0" borderId="46" xfId="0" applyBorder="1" applyAlignment="1">
      <alignment vertical="top"/>
    </xf>
    <xf numFmtId="0" fontId="0" fillId="0" borderId="47" xfId="0" applyBorder="1" applyAlignment="1">
      <alignment vertical="top"/>
    </xf>
    <xf numFmtId="0" fontId="0" fillId="0" borderId="52" xfId="0" applyBorder="1" applyAlignment="1">
      <alignment vertical="top"/>
    </xf>
    <xf numFmtId="43" fontId="0" fillId="0" borderId="11" xfId="1" applyFont="1" applyBorder="1" applyAlignment="1">
      <alignment vertical="top"/>
    </xf>
    <xf numFmtId="0" fontId="0" fillId="0" borderId="49" xfId="0" applyBorder="1" applyAlignment="1">
      <alignment vertical="top"/>
    </xf>
    <xf numFmtId="0" fontId="0" fillId="0" borderId="9" xfId="0" applyBorder="1" applyAlignment="1">
      <alignment vertical="top"/>
    </xf>
    <xf numFmtId="0" fontId="22" fillId="0" borderId="0" xfId="0" applyFont="1" applyBorder="1"/>
    <xf numFmtId="171" fontId="0" fillId="0" borderId="0" xfId="1" applyNumberFormat="1" applyFont="1" applyBorder="1"/>
    <xf numFmtId="43" fontId="0" fillId="6" borderId="11" xfId="0" applyNumberFormat="1" applyFill="1" applyBorder="1" applyAlignment="1">
      <alignment vertical="top"/>
    </xf>
    <xf numFmtId="0" fontId="0" fillId="0" borderId="5" xfId="0" applyBorder="1"/>
    <xf numFmtId="43" fontId="30" fillId="0" borderId="0" xfId="1" applyFont="1" applyBorder="1"/>
    <xf numFmtId="43" fontId="0" fillId="9" borderId="5" xfId="1" applyFont="1" applyFill="1" applyBorder="1"/>
    <xf numFmtId="0" fontId="19" fillId="0" borderId="0" xfId="0" applyFont="1" applyAlignment="1">
      <alignment horizontal="justify" vertical="center"/>
    </xf>
    <xf numFmtId="43" fontId="0" fillId="0" borderId="0" xfId="0" applyNumberFormat="1" applyAlignment="1">
      <alignment horizontal="left"/>
    </xf>
    <xf numFmtId="2" fontId="0" fillId="0" borderId="0" xfId="0" applyNumberFormat="1" applyAlignment="1">
      <alignment vertical="top"/>
    </xf>
    <xf numFmtId="171" fontId="0" fillId="0" borderId="0" xfId="1" applyNumberFormat="1" applyFont="1"/>
    <xf numFmtId="43" fontId="0" fillId="0" borderId="0" xfId="1" applyNumberFormat="1" applyFont="1"/>
    <xf numFmtId="169" fontId="0" fillId="0" borderId="0" xfId="1" applyNumberFormat="1" applyFont="1"/>
    <xf numFmtId="0" fontId="0" fillId="0" borderId="46" xfId="0" applyBorder="1"/>
    <xf numFmtId="0" fontId="0" fillId="0" borderId="48" xfId="0" applyBorder="1"/>
    <xf numFmtId="0" fontId="0" fillId="8" borderId="47" xfId="0" applyFill="1" applyBorder="1"/>
    <xf numFmtId="167" fontId="0" fillId="0" borderId="52" xfId="0" applyNumberFormat="1" applyBorder="1"/>
    <xf numFmtId="0" fontId="0" fillId="0" borderId="52" xfId="0" applyBorder="1"/>
    <xf numFmtId="43" fontId="0" fillId="8" borderId="11" xfId="1" applyFont="1" applyFill="1" applyBorder="1"/>
    <xf numFmtId="0" fontId="0" fillId="8" borderId="11" xfId="0" applyFill="1" applyBorder="1"/>
    <xf numFmtId="166" fontId="0" fillId="6" borderId="0" xfId="0" applyNumberFormat="1" applyFill="1" applyBorder="1"/>
    <xf numFmtId="0" fontId="0" fillId="0" borderId="49" xfId="0" applyBorder="1"/>
    <xf numFmtId="166" fontId="0" fillId="0" borderId="50" xfId="0" applyNumberFormat="1" applyBorder="1"/>
    <xf numFmtId="0" fontId="0" fillId="8" borderId="9" xfId="0" applyFill="1" applyBorder="1"/>
    <xf numFmtId="167" fontId="0" fillId="0" borderId="47" xfId="0" applyNumberFormat="1" applyBorder="1"/>
    <xf numFmtId="0" fontId="0" fillId="0" borderId="11" xfId="0" applyBorder="1"/>
    <xf numFmtId="166" fontId="0" fillId="0" borderId="11" xfId="0" applyNumberFormat="1" applyBorder="1"/>
    <xf numFmtId="0" fontId="0" fillId="0" borderId="50" xfId="0" applyBorder="1"/>
    <xf numFmtId="0" fontId="0" fillId="0" borderId="9" xfId="0" applyBorder="1"/>
    <xf numFmtId="0" fontId="0" fillId="0" borderId="0" xfId="0" applyAlignment="1">
      <alignment horizontal="center" wrapText="1"/>
    </xf>
    <xf numFmtId="168" fontId="0" fillId="0" borderId="47" xfId="1" applyNumberFormat="1" applyFont="1" applyBorder="1"/>
    <xf numFmtId="166" fontId="0" fillId="0" borderId="11" xfId="1" applyNumberFormat="1" applyFont="1" applyBorder="1"/>
    <xf numFmtId="166" fontId="0" fillId="0" borderId="9" xfId="0" applyNumberFormat="1" applyBorder="1"/>
    <xf numFmtId="41" fontId="0" fillId="0" borderId="0" xfId="0" applyNumberFormat="1"/>
    <xf numFmtId="4" fontId="0" fillId="0" borderId="0" xfId="1" applyNumberFormat="1" applyFont="1"/>
    <xf numFmtId="43" fontId="8" fillId="0" borderId="0" xfId="1" applyFont="1"/>
    <xf numFmtId="43" fontId="8" fillId="0" borderId="0" xfId="0" applyNumberFormat="1" applyFont="1"/>
    <xf numFmtId="43" fontId="9" fillId="0" borderId="0" xfId="1" applyFont="1"/>
    <xf numFmtId="4" fontId="8" fillId="0" borderId="0" xfId="0" applyNumberFormat="1" applyFont="1"/>
    <xf numFmtId="166" fontId="0" fillId="6" borderId="0" xfId="1" applyNumberFormat="1" applyFont="1" applyFill="1"/>
    <xf numFmtId="4" fontId="0" fillId="6" borderId="0" xfId="0" applyNumberFormat="1" applyFill="1"/>
    <xf numFmtId="0" fontId="17" fillId="5" borderId="5" xfId="0" applyFont="1" applyFill="1" applyBorder="1" applyAlignment="1">
      <alignment vertical="center"/>
    </xf>
    <xf numFmtId="0" fontId="30" fillId="0" borderId="0" xfId="0" applyFont="1" applyAlignment="1">
      <alignment horizontal="center"/>
    </xf>
    <xf numFmtId="168" fontId="0" fillId="0" borderId="0" xfId="0" applyNumberFormat="1"/>
    <xf numFmtId="43" fontId="0" fillId="6" borderId="0" xfId="1" applyFont="1" applyFill="1" applyBorder="1" applyAlignment="1">
      <alignment horizontal="right"/>
    </xf>
    <xf numFmtId="0" fontId="8" fillId="6" borderId="6" xfId="0" applyFont="1" applyFill="1" applyBorder="1" applyAlignment="1">
      <alignment horizontal="center" vertical="top"/>
    </xf>
    <xf numFmtId="0" fontId="31" fillId="6" borderId="6" xfId="0" applyFont="1" applyFill="1" applyBorder="1" applyAlignment="1">
      <alignment horizontal="center" vertical="top" wrapText="1"/>
    </xf>
    <xf numFmtId="0" fontId="22" fillId="6" borderId="6" xfId="0" applyFont="1" applyFill="1" applyBorder="1" applyAlignment="1">
      <alignment horizontal="center" vertical="top" wrapText="1"/>
    </xf>
    <xf numFmtId="165" fontId="0" fillId="8" borderId="5" xfId="0" applyNumberFormat="1" applyFill="1" applyBorder="1"/>
    <xf numFmtId="4" fontId="0" fillId="6" borderId="5" xfId="0" applyNumberFormat="1" applyFill="1" applyBorder="1"/>
    <xf numFmtId="4" fontId="0" fillId="8" borderId="0" xfId="0" applyNumberFormat="1" applyFill="1" applyAlignment="1">
      <alignment horizontal="right"/>
    </xf>
    <xf numFmtId="170" fontId="0" fillId="0" borderId="0" xfId="1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0" fontId="31" fillId="6" borderId="5" xfId="0" applyFont="1" applyFill="1" applyBorder="1" applyAlignment="1">
      <alignment horizontal="center" vertical="top" wrapText="1"/>
    </xf>
    <xf numFmtId="0" fontId="0" fillId="0" borderId="5" xfId="0" applyFill="1" applyBorder="1"/>
    <xf numFmtId="0" fontId="19" fillId="8" borderId="60" xfId="0" applyFont="1" applyFill="1" applyBorder="1" applyAlignment="1">
      <alignment horizontal="justify" vertical="top"/>
    </xf>
    <xf numFmtId="0" fontId="0" fillId="0" borderId="60" xfId="0" applyBorder="1"/>
    <xf numFmtId="0" fontId="19" fillId="8" borderId="60" xfId="0" applyFont="1" applyFill="1" applyBorder="1" applyAlignment="1">
      <alignment horizontal="justify"/>
    </xf>
    <xf numFmtId="0" fontId="0" fillId="0" borderId="0" xfId="0" applyBorder="1" applyAlignment="1">
      <alignment vertical="top"/>
    </xf>
    <xf numFmtId="166" fontId="0" fillId="0" borderId="0" xfId="0" applyNumberFormat="1" applyBorder="1" applyAlignment="1">
      <alignment horizontal="right"/>
    </xf>
    <xf numFmtId="166" fontId="0" fillId="6" borderId="0" xfId="0" applyNumberFormat="1" applyFill="1" applyBorder="1" applyAlignment="1">
      <alignment vertical="top"/>
    </xf>
    <xf numFmtId="43" fontId="0" fillId="6" borderId="0" xfId="0" applyNumberFormat="1" applyFill="1" applyBorder="1"/>
    <xf numFmtId="43" fontId="0" fillId="0" borderId="0" xfId="1" applyFont="1" applyBorder="1" applyAlignment="1">
      <alignment horizontal="right"/>
    </xf>
    <xf numFmtId="173" fontId="0" fillId="8" borderId="0" xfId="1" applyNumberFormat="1" applyFont="1" applyFill="1" applyBorder="1"/>
    <xf numFmtId="170" fontId="0" fillId="0" borderId="0" xfId="1" applyNumberFormat="1" applyFont="1" applyBorder="1"/>
    <xf numFmtId="164" fontId="0" fillId="0" borderId="5" xfId="0" applyNumberFormat="1" applyBorder="1" applyAlignment="1">
      <alignment vertical="top"/>
    </xf>
    <xf numFmtId="164" fontId="0" fillId="8" borderId="5" xfId="0" applyNumberFormat="1" applyFill="1" applyBorder="1" applyAlignment="1">
      <alignment vertical="top"/>
    </xf>
    <xf numFmtId="164" fontId="0" fillId="8" borderId="6" xfId="0" applyNumberFormat="1" applyFill="1" applyBorder="1" applyAlignment="1">
      <alignment vertical="top"/>
    </xf>
    <xf numFmtId="43" fontId="0" fillId="0" borderId="0" xfId="0" applyNumberFormat="1" applyAlignment="1">
      <alignment vertical="top"/>
    </xf>
    <xf numFmtId="174" fontId="0" fillId="6" borderId="5" xfId="1" applyNumberFormat="1" applyFont="1" applyFill="1" applyBorder="1"/>
    <xf numFmtId="174" fontId="0" fillId="6" borderId="6" xfId="1" applyNumberFormat="1" applyFont="1" applyFill="1" applyBorder="1"/>
    <xf numFmtId="3" fontId="0" fillId="0" borderId="0" xfId="0" applyNumberFormat="1" applyAlignment="1">
      <alignment vertical="top"/>
    </xf>
    <xf numFmtId="3" fontId="0" fillId="0" borderId="0" xfId="0" applyNumberFormat="1" applyBorder="1"/>
    <xf numFmtId="43" fontId="0" fillId="0" borderId="0" xfId="0" applyNumberFormat="1" applyBorder="1" applyAlignment="1">
      <alignment horizontal="right"/>
    </xf>
    <xf numFmtId="164" fontId="0" fillId="0" borderId="6" xfId="0" applyNumberFormat="1" applyBorder="1" applyAlignment="1">
      <alignment vertical="top"/>
    </xf>
    <xf numFmtId="164" fontId="0" fillId="8" borderId="36" xfId="0" applyNumberFormat="1" applyFill="1" applyBorder="1" applyAlignment="1">
      <alignment vertical="top"/>
    </xf>
    <xf numFmtId="164" fontId="0" fillId="0" borderId="36" xfId="0" applyNumberFormat="1" applyBorder="1" applyAlignment="1">
      <alignment vertical="top"/>
    </xf>
    <xf numFmtId="0" fontId="0" fillId="0" borderId="36" xfId="0" applyFill="1" applyBorder="1"/>
    <xf numFmtId="166" fontId="32" fillId="0" borderId="0" xfId="1" applyNumberFormat="1" applyFont="1"/>
    <xf numFmtId="43" fontId="33" fillId="0" borderId="0" xfId="1" applyFont="1" applyBorder="1"/>
    <xf numFmtId="0" fontId="33" fillId="0" borderId="0" xfId="0" applyFont="1" applyBorder="1"/>
    <xf numFmtId="37" fontId="0" fillId="6" borderId="5" xfId="1" applyNumberFormat="1" applyFont="1" applyFill="1" applyBorder="1"/>
    <xf numFmtId="164" fontId="0" fillId="0" borderId="0" xfId="0" applyNumberFormat="1" applyBorder="1"/>
    <xf numFmtId="0" fontId="0" fillId="0" borderId="57" xfId="0" applyBorder="1" applyAlignment="1">
      <alignment vertical="top"/>
    </xf>
    <xf numFmtId="0" fontId="0" fillId="0" borderId="12" xfId="0" applyBorder="1" applyAlignment="1">
      <alignment vertical="top"/>
    </xf>
    <xf numFmtId="0" fontId="2" fillId="8" borderId="0" xfId="0" applyFont="1" applyFill="1" applyBorder="1" applyAlignment="1">
      <alignment horizontal="justify" vertical="top"/>
    </xf>
    <xf numFmtId="0" fontId="2" fillId="0" borderId="20" xfId="0" applyFont="1" applyBorder="1" applyAlignment="1">
      <alignment horizontal="justify" vertical="top"/>
    </xf>
    <xf numFmtId="3" fontId="2" fillId="8" borderId="11" xfId="0" applyNumberFormat="1" applyFont="1" applyFill="1" applyBorder="1" applyAlignment="1">
      <alignment horizontal="right" vertical="top"/>
    </xf>
    <xf numFmtId="0" fontId="1" fillId="2" borderId="61" xfId="0" applyFont="1" applyFill="1" applyBorder="1" applyAlignment="1">
      <alignment horizontal="center" vertical="top"/>
    </xf>
    <xf numFmtId="0" fontId="3" fillId="2" borderId="47" xfId="0" applyFont="1" applyFill="1" applyBorder="1" applyAlignment="1">
      <alignment horizontal="right" vertical="top" wrapText="1"/>
    </xf>
    <xf numFmtId="4" fontId="22" fillId="0" borderId="0" xfId="0" applyNumberFormat="1" applyFont="1" applyBorder="1"/>
    <xf numFmtId="174" fontId="0" fillId="0" borderId="0" xfId="0" applyNumberFormat="1" applyBorder="1"/>
    <xf numFmtId="3" fontId="22" fillId="0" borderId="0" xfId="0" applyNumberFormat="1" applyFont="1" applyBorder="1"/>
    <xf numFmtId="3" fontId="0" fillId="0" borderId="5" xfId="0" applyNumberFormat="1" applyBorder="1"/>
    <xf numFmtId="3" fontId="0" fillId="8" borderId="5" xfId="0" applyNumberFormat="1" applyFill="1" applyBorder="1"/>
    <xf numFmtId="3" fontId="0" fillId="8" borderId="5" xfId="0" applyNumberFormat="1" applyFill="1" applyBorder="1" applyAlignment="1">
      <alignment vertical="top"/>
    </xf>
    <xf numFmtId="3" fontId="0" fillId="8" borderId="6" xfId="0" applyNumberFormat="1" applyFill="1" applyBorder="1"/>
    <xf numFmtId="3" fontId="0" fillId="8" borderId="6" xfId="0" applyNumberFormat="1" applyFill="1" applyBorder="1" applyAlignment="1">
      <alignment vertical="top"/>
    </xf>
    <xf numFmtId="3" fontId="0" fillId="8" borderId="36" xfId="0" applyNumberFormat="1" applyFill="1" applyBorder="1" applyAlignment="1">
      <alignment vertical="top"/>
    </xf>
    <xf numFmtId="3" fontId="0" fillId="9" borderId="5" xfId="1" applyNumberFormat="1" applyFont="1" applyFill="1" applyBorder="1"/>
    <xf numFmtId="164" fontId="0" fillId="0" borderId="0" xfId="0" applyNumberFormat="1" applyBorder="1" applyAlignment="1"/>
    <xf numFmtId="164" fontId="0" fillId="0" borderId="62" xfId="0" applyNumberFormat="1" applyBorder="1" applyAlignment="1"/>
    <xf numFmtId="164" fontId="0" fillId="0" borderId="60" xfId="0" applyNumberFormat="1" applyBorder="1" applyAlignment="1"/>
    <xf numFmtId="0" fontId="2" fillId="0" borderId="12" xfId="0" applyFont="1" applyBorder="1" applyAlignment="1">
      <alignment horizontal="justify" vertical="top"/>
    </xf>
    <xf numFmtId="0" fontId="2" fillId="0" borderId="21" xfId="0" applyFont="1" applyBorder="1" applyAlignment="1">
      <alignment horizontal="justify" vertical="top"/>
    </xf>
    <xf numFmtId="3" fontId="2" fillId="8" borderId="9" xfId="0" applyNumberFormat="1" applyFont="1" applyFill="1" applyBorder="1" applyAlignment="1">
      <alignment horizontal="right" vertical="top"/>
    </xf>
    <xf numFmtId="3" fontId="3" fillId="2" borderId="64" xfId="0" applyNumberFormat="1" applyFont="1" applyFill="1" applyBorder="1" applyAlignment="1">
      <alignment horizontal="right" vertical="top" wrapText="1"/>
    </xf>
    <xf numFmtId="0" fontId="3" fillId="2" borderId="63" xfId="0" applyFont="1" applyFill="1" applyBorder="1" applyAlignment="1">
      <alignment horizontal="center" vertical="top"/>
    </xf>
    <xf numFmtId="164" fontId="10" fillId="9" borderId="51" xfId="0" applyNumberFormat="1" applyFont="1" applyFill="1" applyBorder="1" applyAlignment="1">
      <alignment vertical="center"/>
    </xf>
    <xf numFmtId="164" fontId="8" fillId="9" borderId="5" xfId="0" applyNumberFormat="1" applyFont="1" applyFill="1" applyBorder="1" applyAlignment="1"/>
    <xf numFmtId="164" fontId="8" fillId="9" borderId="5" xfId="0" applyNumberFormat="1" applyFont="1" applyFill="1" applyBorder="1"/>
    <xf numFmtId="0" fontId="8" fillId="6" borderId="60" xfId="0" applyFont="1" applyFill="1" applyBorder="1" applyAlignment="1">
      <alignment horizontal="center" vertical="top"/>
    </xf>
    <xf numFmtId="0" fontId="8" fillId="6" borderId="5" xfId="0" applyFont="1" applyFill="1" applyBorder="1" applyAlignment="1">
      <alignment horizontal="center" vertical="top"/>
    </xf>
    <xf numFmtId="0" fontId="8" fillId="6" borderId="5" xfId="0" applyFont="1" applyFill="1" applyBorder="1" applyAlignment="1">
      <alignment horizontal="center" vertical="top" wrapText="1"/>
    </xf>
    <xf numFmtId="164" fontId="8" fillId="9" borderId="6" xfId="0" applyNumberFormat="1" applyFont="1" applyFill="1" applyBorder="1"/>
    <xf numFmtId="3" fontId="8" fillId="9" borderId="5" xfId="1" applyNumberFormat="1" applyFont="1" applyFill="1" applyBorder="1"/>
    <xf numFmtId="164" fontId="8" fillId="8" borderId="0" xfId="0" applyNumberFormat="1" applyFont="1" applyFill="1" applyBorder="1"/>
    <xf numFmtId="0" fontId="8" fillId="0" borderId="0" xfId="0" applyFont="1" applyAlignment="1">
      <alignment vertical="top"/>
    </xf>
    <xf numFmtId="164" fontId="8" fillId="0" borderId="0" xfId="0" applyNumberFormat="1" applyFont="1" applyAlignment="1">
      <alignment vertical="top"/>
    </xf>
    <xf numFmtId="37" fontId="8" fillId="6" borderId="5" xfId="1" applyNumberFormat="1" applyFont="1" applyFill="1" applyBorder="1"/>
    <xf numFmtId="174" fontId="8" fillId="6" borderId="5" xfId="1" applyNumberFormat="1" applyFont="1" applyFill="1" applyBorder="1"/>
    <xf numFmtId="174" fontId="8" fillId="6" borderId="6" xfId="1" applyNumberFormat="1" applyFont="1" applyFill="1" applyBorder="1"/>
    <xf numFmtId="43" fontId="8" fillId="6" borderId="5" xfId="1" applyFont="1" applyFill="1" applyBorder="1"/>
    <xf numFmtId="3" fontId="8" fillId="0" borderId="0" xfId="0" applyNumberFormat="1" applyFont="1" applyAlignment="1">
      <alignment vertical="top"/>
    </xf>
    <xf numFmtId="43" fontId="8" fillId="0" borderId="0" xfId="1" applyFont="1" applyAlignment="1">
      <alignment vertical="top"/>
    </xf>
    <xf numFmtId="2" fontId="8" fillId="0" borderId="0" xfId="0" applyNumberFormat="1" applyFont="1" applyAlignment="1">
      <alignment horizontal="right" vertical="top"/>
    </xf>
    <xf numFmtId="2" fontId="8" fillId="0" borderId="0" xfId="0" applyNumberFormat="1" applyFont="1" applyAlignment="1">
      <alignment vertical="top"/>
    </xf>
    <xf numFmtId="4" fontId="8" fillId="16" borderId="5" xfId="0" applyNumberFormat="1" applyFont="1" applyFill="1" applyBorder="1"/>
    <xf numFmtId="165" fontId="8" fillId="16" borderId="5" xfId="0" applyNumberFormat="1" applyFont="1" applyFill="1" applyBorder="1"/>
    <xf numFmtId="4" fontId="8" fillId="7" borderId="5" xfId="0" applyNumberFormat="1" applyFont="1" applyFill="1" applyBorder="1"/>
    <xf numFmtId="43" fontId="8" fillId="7" borderId="5" xfId="1" applyFont="1" applyFill="1" applyBorder="1"/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68" xfId="0" applyNumberFormat="1" applyBorder="1"/>
    <xf numFmtId="164" fontId="0" fillId="8" borderId="68" xfId="0" applyNumberFormat="1" applyFill="1" applyBorder="1"/>
    <xf numFmtId="0" fontId="8" fillId="0" borderId="49" xfId="0" applyFont="1" applyBorder="1"/>
    <xf numFmtId="0" fontId="8" fillId="0" borderId="50" xfId="0" applyFont="1" applyBorder="1"/>
    <xf numFmtId="0" fontId="8" fillId="0" borderId="9" xfId="0" applyFont="1" applyBorder="1"/>
    <xf numFmtId="0" fontId="34" fillId="4" borderId="12" xfId="0" applyFont="1" applyFill="1" applyBorder="1" applyAlignment="1">
      <alignment horizontal="justify"/>
    </xf>
    <xf numFmtId="0" fontId="14" fillId="8" borderId="0" xfId="0" applyFont="1" applyFill="1" applyBorder="1" applyAlignment="1">
      <alignment horizontal="justify"/>
    </xf>
    <xf numFmtId="3" fontId="8" fillId="0" borderId="0" xfId="0" applyNumberFormat="1" applyFont="1"/>
    <xf numFmtId="3" fontId="2" fillId="4" borderId="71" xfId="0" applyNumberFormat="1" applyFont="1" applyFill="1" applyBorder="1" applyAlignment="1">
      <alignment horizontal="right" vertical="top"/>
    </xf>
    <xf numFmtId="3" fontId="2" fillId="4" borderId="6" xfId="0" applyNumberFormat="1" applyFont="1" applyFill="1" applyBorder="1" applyAlignment="1">
      <alignment horizontal="right" vertical="top"/>
    </xf>
    <xf numFmtId="0" fontId="35" fillId="0" borderId="0" xfId="0" applyFont="1"/>
    <xf numFmtId="0" fontId="25" fillId="0" borderId="46" xfId="0" applyFont="1" applyBorder="1"/>
    <xf numFmtId="3" fontId="35" fillId="0" borderId="46" xfId="0" applyNumberFormat="1" applyFont="1" applyBorder="1"/>
    <xf numFmtId="4" fontId="35" fillId="0" borderId="46" xfId="0" applyNumberFormat="1" applyFont="1" applyBorder="1" applyAlignment="1">
      <alignment horizontal="center"/>
    </xf>
    <xf numFmtId="4" fontId="35" fillId="0" borderId="10" xfId="0" applyNumberFormat="1" applyFont="1" applyBorder="1"/>
    <xf numFmtId="0" fontId="25" fillId="0" borderId="74" xfId="0" applyFont="1" applyBorder="1"/>
    <xf numFmtId="3" fontId="35" fillId="0" borderId="74" xfId="0" applyNumberFormat="1" applyFont="1" applyBorder="1"/>
    <xf numFmtId="4" fontId="35" fillId="0" borderId="74" xfId="0" applyNumberFormat="1" applyFont="1" applyBorder="1" applyAlignment="1">
      <alignment horizontal="center"/>
    </xf>
    <xf numFmtId="4" fontId="35" fillId="0" borderId="75" xfId="0" applyNumberFormat="1" applyFont="1" applyBorder="1"/>
    <xf numFmtId="0" fontId="25" fillId="0" borderId="49" xfId="0" applyFont="1" applyBorder="1"/>
    <xf numFmtId="3" fontId="35" fillId="0" borderId="49" xfId="0" applyNumberFormat="1" applyFont="1" applyBorder="1"/>
    <xf numFmtId="4" fontId="35" fillId="0" borderId="49" xfId="0" applyNumberFormat="1" applyFont="1" applyBorder="1" applyAlignment="1">
      <alignment horizontal="center"/>
    </xf>
    <xf numFmtId="4" fontId="35" fillId="0" borderId="73" xfId="0" applyNumberFormat="1" applyFont="1" applyBorder="1"/>
    <xf numFmtId="0" fontId="25" fillId="0" borderId="67" xfId="0" applyFont="1" applyFill="1" applyBorder="1" applyAlignment="1">
      <alignment horizontal="center"/>
    </xf>
    <xf numFmtId="0" fontId="25" fillId="20" borderId="52" xfId="0" applyFont="1" applyFill="1" applyBorder="1" applyAlignment="1">
      <alignment horizontal="center"/>
    </xf>
    <xf numFmtId="0" fontId="25" fillId="20" borderId="10" xfId="0" applyFont="1" applyFill="1" applyBorder="1" applyAlignment="1">
      <alignment horizontal="center"/>
    </xf>
    <xf numFmtId="0" fontId="25" fillId="20" borderId="11" xfId="0" applyFont="1" applyFill="1" applyBorder="1" applyAlignment="1">
      <alignment horizontal="center"/>
    </xf>
    <xf numFmtId="0" fontId="25" fillId="21" borderId="52" xfId="0" applyFont="1" applyFill="1" applyBorder="1" applyAlignment="1">
      <alignment horizontal="center"/>
    </xf>
    <xf numFmtId="0" fontId="25" fillId="21" borderId="10" xfId="0" applyFont="1" applyFill="1" applyBorder="1" applyAlignment="1">
      <alignment horizontal="center"/>
    </xf>
    <xf numFmtId="0" fontId="25" fillId="21" borderId="11" xfId="0" applyFont="1" applyFill="1" applyBorder="1" applyAlignment="1">
      <alignment horizontal="center"/>
    </xf>
    <xf numFmtId="3" fontId="25" fillId="21" borderId="70" xfId="0" applyNumberFormat="1" applyFont="1" applyFill="1" applyBorder="1"/>
    <xf numFmtId="3" fontId="25" fillId="21" borderId="67" xfId="0" applyNumberFormat="1" applyFont="1" applyFill="1" applyBorder="1"/>
    <xf numFmtId="3" fontId="25" fillId="20" borderId="70" xfId="0" applyNumberFormat="1" applyFont="1" applyFill="1" applyBorder="1"/>
    <xf numFmtId="3" fontId="25" fillId="20" borderId="67" xfId="0" applyNumberFormat="1" applyFont="1" applyFill="1" applyBorder="1"/>
    <xf numFmtId="4" fontId="25" fillId="20" borderId="72" xfId="0" applyNumberFormat="1" applyFont="1" applyFill="1" applyBorder="1"/>
    <xf numFmtId="4" fontId="25" fillId="21" borderId="9" xfId="0" applyNumberFormat="1" applyFont="1" applyFill="1" applyBorder="1"/>
    <xf numFmtId="4" fontId="35" fillId="0" borderId="76" xfId="0" applyNumberFormat="1" applyFont="1" applyBorder="1"/>
    <xf numFmtId="4" fontId="35" fillId="0" borderId="77" xfId="0" applyNumberFormat="1" applyFont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horizontal="center" vertical="center"/>
    </xf>
    <xf numFmtId="0" fontId="34" fillId="3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4" fillId="3" borderId="65" xfId="0" applyFont="1" applyFill="1" applyBorder="1" applyAlignment="1">
      <alignment horizontal="center" vertical="center"/>
    </xf>
    <xf numFmtId="0" fontId="34" fillId="3" borderId="66" xfId="0" applyFont="1" applyFill="1" applyBorder="1" applyAlignment="1">
      <alignment horizontal="center" vertical="center"/>
    </xf>
    <xf numFmtId="0" fontId="25" fillId="20" borderId="70" xfId="0" applyFont="1" applyFill="1" applyBorder="1" applyAlignment="1">
      <alignment horizontal="center"/>
    </xf>
    <xf numFmtId="0" fontId="25" fillId="20" borderId="72" xfId="0" applyFont="1" applyFill="1" applyBorder="1" applyAlignment="1">
      <alignment horizontal="center"/>
    </xf>
    <xf numFmtId="0" fontId="25" fillId="20" borderId="64" xfId="0" applyFont="1" applyFill="1" applyBorder="1" applyAlignment="1">
      <alignment horizontal="center"/>
    </xf>
    <xf numFmtId="0" fontId="25" fillId="21" borderId="70" xfId="0" applyFont="1" applyFill="1" applyBorder="1" applyAlignment="1">
      <alignment horizontal="center"/>
    </xf>
    <xf numFmtId="0" fontId="25" fillId="21" borderId="72" xfId="0" applyFont="1" applyFill="1" applyBorder="1" applyAlignment="1">
      <alignment horizontal="center"/>
    </xf>
    <xf numFmtId="0" fontId="25" fillId="21" borderId="64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8" fillId="0" borderId="65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72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166" fontId="14" fillId="10" borderId="37" xfId="1" applyNumberFormat="1" applyFont="1" applyFill="1" applyBorder="1" applyAlignment="1">
      <alignment horizontal="right" vertical="center"/>
    </xf>
    <xf numFmtId="166" fontId="14" fillId="10" borderId="45" xfId="1" applyNumberFormat="1" applyFont="1" applyFill="1" applyBorder="1" applyAlignment="1">
      <alignment horizontal="right" vertical="center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6" fillId="12" borderId="24" xfId="0" applyFont="1" applyFill="1" applyBorder="1" applyAlignment="1">
      <alignment horizontal="center" vertical="center"/>
    </xf>
    <xf numFmtId="166" fontId="13" fillId="0" borderId="27" xfId="1" applyNumberFormat="1" applyFont="1" applyBorder="1" applyAlignment="1">
      <alignment horizontal="right" vertical="center"/>
    </xf>
    <xf numFmtId="166" fontId="13" fillId="0" borderId="28" xfId="1" applyNumberFormat="1" applyFont="1" applyBorder="1" applyAlignment="1">
      <alignment horizontal="right" vertical="center"/>
    </xf>
    <xf numFmtId="166" fontId="14" fillId="10" borderId="29" xfId="1" applyNumberFormat="1" applyFont="1" applyFill="1" applyBorder="1" applyAlignment="1">
      <alignment vertical="center"/>
    </xf>
    <xf numFmtId="166" fontId="14" fillId="10" borderId="30" xfId="1" applyNumberFormat="1" applyFont="1" applyFill="1" applyBorder="1" applyAlignment="1">
      <alignment vertical="center"/>
    </xf>
    <xf numFmtId="166" fontId="16" fillId="8" borderId="31" xfId="1" applyNumberFormat="1" applyFont="1" applyFill="1" applyBorder="1" applyAlignment="1">
      <alignment horizontal="right" vertical="center"/>
    </xf>
    <xf numFmtId="166" fontId="16" fillId="8" borderId="32" xfId="1" applyNumberFormat="1" applyFont="1" applyFill="1" applyBorder="1" applyAlignment="1">
      <alignment horizontal="right" vertical="center"/>
    </xf>
    <xf numFmtId="166" fontId="10" fillId="8" borderId="37" xfId="1" applyNumberFormat="1" applyFont="1" applyFill="1" applyBorder="1" applyAlignment="1">
      <alignment horizontal="right" vertical="top"/>
    </xf>
    <xf numFmtId="166" fontId="10" fillId="8" borderId="43" xfId="1" applyNumberFormat="1" applyFont="1" applyFill="1" applyBorder="1" applyAlignment="1">
      <alignment horizontal="right" vertical="top"/>
    </xf>
    <xf numFmtId="0" fontId="2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3" fontId="0" fillId="0" borderId="6" xfId="0" applyNumberFormat="1" applyBorder="1" applyAlignment="1">
      <alignment vertical="top"/>
    </xf>
    <xf numFmtId="0" fontId="0" fillId="0" borderId="6" xfId="0" applyBorder="1" applyAlignment="1">
      <alignment vertical="top"/>
    </xf>
    <xf numFmtId="164" fontId="0" fillId="0" borderId="0" xfId="0" applyNumberFormat="1" applyBorder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DE59"/>
      <color rgb="FF4C4747"/>
      <color rgb="FFE0E6ED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418393</xdr:colOff>
      <xdr:row>2</xdr:row>
      <xdr:rowOff>77755</xdr:rowOff>
    </xdr:from>
    <xdr:to>
      <xdr:col>4</xdr:col>
      <xdr:colOff>1206177</xdr:colOff>
      <xdr:row>7</xdr:row>
      <xdr:rowOff>145791</xdr:rowOff>
    </xdr:to>
    <xdr:grpSp>
      <xdr:nvGrpSpPr>
        <xdr:cNvPr id="2" name="Grupo 1"/>
        <xdr:cNvGrpSpPr/>
      </xdr:nvGrpSpPr>
      <xdr:grpSpPr>
        <a:xfrm>
          <a:off x="4066468" y="458755"/>
          <a:ext cx="1997459" cy="1020536"/>
          <a:chOff x="0" y="0"/>
          <a:chExt cx="1969572" cy="1369204"/>
        </a:xfrm>
      </xdr:grpSpPr>
      <xdr:pic>
        <xdr:nvPicPr>
          <xdr:cNvPr id="3" name="Imagen 2" descr="GOBIERNO@300x - Gabinete de Política Social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600" r="864" b="21876"/>
          <a:stretch/>
        </xdr:blipFill>
        <xdr:spPr bwMode="auto">
          <a:xfrm>
            <a:off x="0" y="0"/>
            <a:ext cx="1941195" cy="122491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68" t="-18182" r="32162"/>
          <a:stretch/>
        </xdr:blipFill>
        <xdr:spPr bwMode="auto">
          <a:xfrm>
            <a:off x="112197" y="1245379"/>
            <a:ext cx="1857375" cy="1238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tes/Desktop/DIFERENTES%20INFORMES/INFORME%20PRESIDENCIA/Resumen%20produccion%20para%20presidenc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esktop/Nueva%20carpeta%20(2)/Resumen%20produccion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ownloads/Resumen%20produccion%20Enero-Junio%202023%20(1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ASTIRA%20CABRERA/Downloads/Resumen%20produccion%20Enero-Junio%202023%20(8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tes/Desktop/DIFERENTES%20INFORMES/INFORME%20PRODUCCION%20POR%20A&#209;O/RELACION%20DE%20RACIONES%20COCIDAS%20Y%20CRUDAS%2030-6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21"/>
      <sheetName val="RELACION COCIDA 2022"/>
      <sheetName val="BENEFICIARIOS JULIO-SEPTIEMBRE "/>
      <sheetName val="DIFERENCIA "/>
    </sheetNames>
    <sheetDataSet>
      <sheetData sheetId="0" refreshError="1"/>
      <sheetData sheetId="1" refreshError="1"/>
      <sheetData sheetId="2" refreshError="1">
        <row r="7">
          <cell r="D7">
            <v>2562056</v>
          </cell>
        </row>
        <row r="73">
          <cell r="N73">
            <v>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 PR.TRIMESTRE (2)"/>
      <sheetName val="PRODUCCION ABRIL 2023"/>
      <sheetName val="PRODUCCION 2023"/>
      <sheetName val="BENEFICIARIO PR.TRIMESTRE"/>
      <sheetName val="Hoja1"/>
    </sheetNames>
    <sheetDataSet>
      <sheetData sheetId="0" refreshError="1"/>
      <sheetData sheetId="1" refreshError="1"/>
      <sheetData sheetId="2" refreshError="1"/>
      <sheetData sheetId="3">
        <row r="90">
          <cell r="N90">
            <v>2758099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 PR.TRIMESTRE (2)"/>
      <sheetName val="PRODUCCION ABRIL 2023"/>
      <sheetName val="PRODUCCION 2023"/>
      <sheetName val="BENEFICIARIO PR.TRIMESTRE"/>
      <sheetName val="Hoja1"/>
    </sheetNames>
    <sheetDataSet>
      <sheetData sheetId="0" refreshError="1"/>
      <sheetData sheetId="1" refreshError="1"/>
      <sheetData sheetId="2" refreshError="1"/>
      <sheetData sheetId="3" refreshError="1">
        <row r="5">
          <cell r="M5">
            <v>267717</v>
          </cell>
        </row>
        <row r="91">
          <cell r="M91">
            <v>66.05</v>
          </cell>
        </row>
        <row r="94">
          <cell r="M94">
            <v>17101600.650144398</v>
          </cell>
        </row>
        <row r="95">
          <cell r="M95">
            <v>186436032.5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EFICIARIO PR.TRIMESTRE (2)"/>
      <sheetName val="PRODUCCION ABRIL 2023"/>
      <sheetName val="PRODUCCION 2023"/>
      <sheetName val="BENEFICIARIO PR.TRIMESTRE"/>
      <sheetName val="Hoja1"/>
    </sheetNames>
    <sheetDataSet>
      <sheetData sheetId="0" refreshError="1"/>
      <sheetData sheetId="1" refreshError="1"/>
      <sheetData sheetId="2" refreshError="1"/>
      <sheetData sheetId="3">
        <row r="5">
          <cell r="L5">
            <v>220442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ON RACIONES COCIDAS"/>
      <sheetName val="RACIONES CRUDAS "/>
    </sheetNames>
    <sheetDataSet>
      <sheetData sheetId="0">
        <row r="186">
          <cell r="F186">
            <v>3267717442.4000001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4"/>
  <sheetViews>
    <sheetView topLeftCell="M2" workbookViewId="0">
      <selection activeCell="N21" sqref="N21"/>
    </sheetView>
  </sheetViews>
  <sheetFormatPr baseColWidth="10" defaultRowHeight="15"/>
  <cols>
    <col min="1" max="1" width="0" hidden="1" customWidth="1"/>
    <col min="2" max="2" width="4.7109375" customWidth="1"/>
    <col min="3" max="3" width="33.5703125" style="115" customWidth="1"/>
    <col min="4" max="4" width="15.140625" style="115" customWidth="1"/>
    <col min="5" max="5" width="16.42578125" customWidth="1"/>
    <col min="6" max="6" width="23.28515625" customWidth="1"/>
    <col min="7" max="7" width="16.85546875" customWidth="1"/>
    <col min="8" max="8" width="18.42578125" customWidth="1"/>
    <col min="9" max="9" width="15.42578125" customWidth="1"/>
    <col min="10" max="10" width="17" customWidth="1"/>
    <col min="11" max="11" width="17.140625" customWidth="1"/>
    <col min="12" max="12" width="16.140625" customWidth="1"/>
    <col min="13" max="13" width="17.7109375" customWidth="1"/>
    <col min="14" max="14" width="16.85546875" customWidth="1"/>
    <col min="15" max="15" width="17.42578125" customWidth="1"/>
    <col min="16" max="16" width="16.42578125" customWidth="1"/>
    <col min="17" max="17" width="18.7109375" customWidth="1"/>
    <col min="18" max="18" width="19.28515625" customWidth="1"/>
    <col min="19" max="19" width="6.28515625" customWidth="1"/>
    <col min="20" max="20" width="21.85546875" customWidth="1"/>
    <col min="21" max="21" width="19" customWidth="1"/>
    <col min="22" max="22" width="18" customWidth="1"/>
    <col min="23" max="23" width="16.85546875" bestFit="1" customWidth="1"/>
    <col min="24" max="24" width="17.28515625" bestFit="1" customWidth="1"/>
  </cols>
  <sheetData>
    <row r="1" spans="3:26">
      <c r="F1" s="24"/>
    </row>
    <row r="2" spans="3:26" ht="15.75" thickBot="1">
      <c r="L2" s="27"/>
      <c r="M2" s="16"/>
      <c r="N2" s="27"/>
      <c r="O2" s="27"/>
      <c r="P2" s="27"/>
      <c r="Q2" s="27"/>
      <c r="R2" s="27"/>
      <c r="T2" s="27"/>
      <c r="U2" s="27"/>
    </row>
    <row r="3" spans="3:26" ht="15.75" thickBot="1">
      <c r="C3" s="385" t="s">
        <v>71</v>
      </c>
      <c r="D3" s="386"/>
    </row>
    <row r="4" spans="3:26" ht="36" customHeight="1" thickBot="1">
      <c r="C4" s="387" t="s">
        <v>1</v>
      </c>
      <c r="D4" s="388"/>
      <c r="F4" s="116" t="s">
        <v>48</v>
      </c>
      <c r="G4" s="116" t="s">
        <v>49</v>
      </c>
      <c r="H4" s="116" t="s">
        <v>50</v>
      </c>
      <c r="I4" s="116" t="s">
        <v>51</v>
      </c>
      <c r="J4" s="116" t="s">
        <v>52</v>
      </c>
      <c r="K4" s="116" t="s">
        <v>53</v>
      </c>
      <c r="L4" s="116" t="s">
        <v>54</v>
      </c>
      <c r="M4" s="117" t="s">
        <v>55</v>
      </c>
      <c r="N4" s="118" t="s">
        <v>140</v>
      </c>
      <c r="O4" s="118" t="s">
        <v>57</v>
      </c>
      <c r="P4" s="259" t="s">
        <v>147</v>
      </c>
      <c r="Q4" s="260" t="s">
        <v>67</v>
      </c>
      <c r="R4" s="116" t="s">
        <v>58</v>
      </c>
      <c r="T4" s="261" t="s">
        <v>215</v>
      </c>
      <c r="U4" s="267" t="s">
        <v>67</v>
      </c>
    </row>
    <row r="5" spans="3:26">
      <c r="C5" s="129" t="s">
        <v>156</v>
      </c>
      <c r="D5" s="128">
        <f t="shared" ref="D5:D7" si="0">+R5</f>
        <v>694056</v>
      </c>
      <c r="E5" s="27"/>
      <c r="F5" s="13"/>
      <c r="G5" s="13"/>
      <c r="H5" s="13"/>
      <c r="I5" s="13"/>
      <c r="J5" s="13"/>
      <c r="K5" s="13"/>
      <c r="L5" s="13"/>
      <c r="M5" s="13">
        <v>12393</v>
      </c>
      <c r="N5" s="44">
        <v>223152</v>
      </c>
      <c r="O5" s="13">
        <v>220424</v>
      </c>
      <c r="P5" s="44">
        <v>226877</v>
      </c>
      <c r="Q5" s="44">
        <f>287+10923</f>
        <v>11210</v>
      </c>
      <c r="R5" s="13">
        <f t="shared" ref="R5:R8" si="1">SUM(F5:Q5)</f>
        <v>694056</v>
      </c>
      <c r="T5" s="262"/>
      <c r="U5" s="44">
        <f>287+10923</f>
        <v>11210</v>
      </c>
      <c r="V5" s="16">
        <f>+R5+Q5+P5+O5+N5+M5</f>
        <v>1388112</v>
      </c>
    </row>
    <row r="6" spans="3:26">
      <c r="C6" s="129" t="s">
        <v>145</v>
      </c>
      <c r="D6" s="128">
        <f t="shared" si="0"/>
        <v>18410</v>
      </c>
      <c r="E6" s="27"/>
      <c r="F6" s="13"/>
      <c r="G6" s="13"/>
      <c r="H6" s="13"/>
      <c r="I6" s="13"/>
      <c r="J6" s="13"/>
      <c r="K6" s="13"/>
      <c r="L6" s="13"/>
      <c r="M6" s="13"/>
      <c r="N6" s="44"/>
      <c r="O6" s="41">
        <v>2456</v>
      </c>
      <c r="P6" s="44">
        <v>13231</v>
      </c>
      <c r="Q6" s="44">
        <f>631+2092</f>
        <v>2723</v>
      </c>
      <c r="R6" s="13">
        <f t="shared" si="1"/>
        <v>18410</v>
      </c>
      <c r="S6" s="16"/>
      <c r="T6" s="262"/>
      <c r="U6" s="44">
        <f>631+2092</f>
        <v>2723</v>
      </c>
    </row>
    <row r="7" spans="3:26">
      <c r="C7" s="127" t="s">
        <v>146</v>
      </c>
      <c r="D7" s="128">
        <f t="shared" si="0"/>
        <v>15309</v>
      </c>
      <c r="E7" s="27"/>
      <c r="F7" s="13"/>
      <c r="G7" s="13"/>
      <c r="H7" s="13"/>
      <c r="I7" s="13"/>
      <c r="J7" s="13"/>
      <c r="K7" s="13"/>
      <c r="L7" s="13"/>
      <c r="M7" s="13"/>
      <c r="N7" s="44"/>
      <c r="O7" s="13">
        <v>823</v>
      </c>
      <c r="P7" s="44">
        <v>12119</v>
      </c>
      <c r="Q7" s="44">
        <f>275+2092</f>
        <v>2367</v>
      </c>
      <c r="R7" s="13">
        <f t="shared" si="1"/>
        <v>15309</v>
      </c>
      <c r="T7" s="262"/>
      <c r="U7" s="44">
        <f>275+2092</f>
        <v>2367</v>
      </c>
    </row>
    <row r="8" spans="3:26" ht="15.75" thickBot="1">
      <c r="C8" s="135" t="s">
        <v>47</v>
      </c>
      <c r="D8" s="136">
        <f>SUM(D5:D7)</f>
        <v>727775</v>
      </c>
      <c r="F8" s="45">
        <f t="shared" ref="F8:Q8" si="2">SUM(F5:F7)</f>
        <v>0</v>
      </c>
      <c r="G8" s="45">
        <f t="shared" si="2"/>
        <v>0</v>
      </c>
      <c r="H8" s="45">
        <f t="shared" si="2"/>
        <v>0</v>
      </c>
      <c r="I8" s="45">
        <f t="shared" si="2"/>
        <v>0</v>
      </c>
      <c r="J8" s="45">
        <f t="shared" si="2"/>
        <v>0</v>
      </c>
      <c r="K8" s="45">
        <f t="shared" si="2"/>
        <v>0</v>
      </c>
      <c r="L8" s="45">
        <f t="shared" si="2"/>
        <v>0</v>
      </c>
      <c r="M8" s="45">
        <f t="shared" si="2"/>
        <v>12393</v>
      </c>
      <c r="N8" s="137">
        <f t="shared" si="2"/>
        <v>223152</v>
      </c>
      <c r="O8" s="137">
        <f t="shared" si="2"/>
        <v>223703</v>
      </c>
      <c r="P8" s="137">
        <f t="shared" si="2"/>
        <v>252227</v>
      </c>
      <c r="Q8" s="137">
        <f t="shared" si="2"/>
        <v>16300</v>
      </c>
      <c r="R8" s="13">
        <f t="shared" si="1"/>
        <v>727775</v>
      </c>
      <c r="S8" s="27"/>
      <c r="T8" s="137">
        <f>SUM(T5:T7)</f>
        <v>0</v>
      </c>
      <c r="U8" s="137">
        <f>SUM(U5:U7)</f>
        <v>16300</v>
      </c>
      <c r="V8" s="25"/>
      <c r="W8" s="25"/>
    </row>
    <row r="9" spans="3:26" ht="15.75" thickBot="1">
      <c r="C9" s="138"/>
      <c r="D9" s="139">
        <f>SUM(D5:D7)</f>
        <v>727775</v>
      </c>
      <c r="E9" s="46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T9" s="47"/>
      <c r="U9" s="47"/>
      <c r="V9" s="25"/>
      <c r="W9" s="25"/>
    </row>
    <row r="10" spans="3:26" ht="17.25" customHeight="1">
      <c r="D10" s="113"/>
      <c r="E10" t="s">
        <v>59</v>
      </c>
      <c r="F10">
        <v>74.77</v>
      </c>
      <c r="G10">
        <v>55.62</v>
      </c>
      <c r="H10">
        <v>53.19</v>
      </c>
      <c r="I10">
        <v>51.11</v>
      </c>
      <c r="J10">
        <v>49.62</v>
      </c>
      <c r="K10">
        <v>50.6</v>
      </c>
      <c r="L10">
        <v>50.65</v>
      </c>
      <c r="M10">
        <v>50.18</v>
      </c>
      <c r="N10">
        <v>69.67</v>
      </c>
      <c r="O10">
        <v>77.933089019999997</v>
      </c>
      <c r="P10">
        <v>78.790000000000006</v>
      </c>
      <c r="Q10">
        <v>77.459999999999994</v>
      </c>
      <c r="R10" s="223"/>
      <c r="T10" s="223"/>
      <c r="U10" s="223">
        <v>77.459999999999994</v>
      </c>
      <c r="X10" s="145">
        <v>1641939566.9000001</v>
      </c>
      <c r="Y10" s="146"/>
      <c r="Z10" s="147" t="s">
        <v>150</v>
      </c>
    </row>
    <row r="11" spans="3:26" ht="15.75">
      <c r="D11" s="140"/>
      <c r="F11" s="150"/>
      <c r="G11" s="22"/>
      <c r="H11" s="150"/>
      <c r="I11" s="150"/>
      <c r="J11" s="150"/>
      <c r="K11" s="150"/>
      <c r="L11" s="150"/>
      <c r="M11" s="151">
        <f>+M10*M8</f>
        <v>621880.74</v>
      </c>
      <c r="N11" s="151">
        <f t="shared" ref="N11:Q11" si="3">+N10*N8</f>
        <v>15546999.84</v>
      </c>
      <c r="O11" s="151">
        <f t="shared" si="3"/>
        <v>17433865.813041061</v>
      </c>
      <c r="P11" s="151">
        <f t="shared" si="3"/>
        <v>19872965.330000002</v>
      </c>
      <c r="Q11" s="151">
        <f t="shared" si="3"/>
        <v>1262598</v>
      </c>
      <c r="R11" s="263">
        <f>SUM(M11:Q11)</f>
        <v>54738309.723041058</v>
      </c>
      <c r="T11" s="151"/>
      <c r="U11" s="151" t="e">
        <f>+#REF!*U10</f>
        <v>#REF!</v>
      </c>
      <c r="X11" s="152">
        <v>937174286.47000003</v>
      </c>
      <c r="Y11" s="153"/>
      <c r="Z11" s="154" t="s">
        <v>151</v>
      </c>
    </row>
    <row r="12" spans="3:26">
      <c r="X12" s="155">
        <f>350000*400</f>
        <v>140000000</v>
      </c>
      <c r="Y12" s="156"/>
      <c r="Z12" s="154" t="s">
        <v>152</v>
      </c>
    </row>
    <row r="13" spans="3:26" ht="15.75" thickBot="1">
      <c r="D13" s="140">
        <v>26195349</v>
      </c>
      <c r="E13" s="222" t="s">
        <v>72</v>
      </c>
      <c r="F13" s="27">
        <f>2111410+9810483.66</f>
        <v>11921893.66</v>
      </c>
      <c r="G13" s="27">
        <f>2679395+8673720.3</f>
        <v>11353115.300000001</v>
      </c>
      <c r="H13" s="27">
        <f>2764260+10198905.48</f>
        <v>12963165.48</v>
      </c>
      <c r="I13" s="27">
        <f>2194210+12383606.81</f>
        <v>14577816.810000001</v>
      </c>
      <c r="J13" s="23">
        <f>2764260+9105794.49</f>
        <v>11870054.49</v>
      </c>
      <c r="K13" s="24">
        <f>2624395+9538743</f>
        <v>12163138</v>
      </c>
      <c r="L13" s="24">
        <f>2712855+10234405.76</f>
        <v>12947260.76</v>
      </c>
      <c r="M13" s="24">
        <f>2647135+10463232.52</f>
        <v>13110367.52</v>
      </c>
      <c r="N13" s="27">
        <f>3259535+21262010</f>
        <v>24521545</v>
      </c>
      <c r="O13" s="24">
        <f>4537270+17326904.56</f>
        <v>21864174.559999999</v>
      </c>
      <c r="P13" s="27">
        <f>4243980+15314832</f>
        <v>19558812</v>
      </c>
      <c r="Q13" s="264">
        <v>27321722.25</v>
      </c>
      <c r="R13" s="23">
        <f>SUM(F13:Q13)</f>
        <v>194173065.83000001</v>
      </c>
      <c r="S13" s="16"/>
      <c r="T13" s="24"/>
      <c r="U13" s="264"/>
      <c r="V13" s="16"/>
      <c r="X13" s="157">
        <f>SUM(X10:X12)</f>
        <v>2719113853.3699999</v>
      </c>
      <c r="Y13" s="158"/>
      <c r="Z13" s="159"/>
    </row>
    <row r="14" spans="3:26">
      <c r="E14" t="s">
        <v>149</v>
      </c>
      <c r="F14" s="27">
        <v>49929968.159999996</v>
      </c>
      <c r="G14" s="27">
        <v>73735526.549999997</v>
      </c>
      <c r="H14" s="27">
        <v>89755875.599999994</v>
      </c>
      <c r="I14" s="160">
        <v>76704331.150000006</v>
      </c>
      <c r="J14" s="27">
        <v>85303545.030000001</v>
      </c>
      <c r="K14" s="248">
        <v>89107250</v>
      </c>
      <c r="L14" s="24">
        <v>94983987.840000004</v>
      </c>
      <c r="M14" s="24">
        <v>98604854.140000001</v>
      </c>
      <c r="N14" s="27">
        <v>160567190</v>
      </c>
      <c r="O14" s="161">
        <v>180807681.53999999</v>
      </c>
      <c r="P14" s="24">
        <v>209060358</v>
      </c>
      <c r="Q14" s="265">
        <f>+Q8*77.46</f>
        <v>1262598</v>
      </c>
      <c r="R14" s="23">
        <f t="shared" ref="R14:R15" si="4">SUM(F14:Q14)</f>
        <v>1209823166.01</v>
      </c>
      <c r="W14" s="23"/>
    </row>
    <row r="15" spans="3:26">
      <c r="E15" t="s">
        <v>73</v>
      </c>
      <c r="F15" s="249">
        <f t="shared" ref="F15:P15" si="5">SUM(F13:F14)</f>
        <v>61851861.819999993</v>
      </c>
      <c r="G15" s="250">
        <f t="shared" si="5"/>
        <v>85088641.849999994</v>
      </c>
      <c r="H15" s="250">
        <f t="shared" si="5"/>
        <v>102719041.08</v>
      </c>
      <c r="I15" s="251">
        <f t="shared" si="5"/>
        <v>91282147.960000008</v>
      </c>
      <c r="J15" s="250">
        <f t="shared" si="5"/>
        <v>97173599.519999996</v>
      </c>
      <c r="K15" s="250">
        <f t="shared" si="5"/>
        <v>101270388</v>
      </c>
      <c r="L15" s="252">
        <f t="shared" si="5"/>
        <v>107931248.60000001</v>
      </c>
      <c r="M15" s="252">
        <f t="shared" si="5"/>
        <v>111715221.66</v>
      </c>
      <c r="N15" s="249">
        <f t="shared" si="5"/>
        <v>185088735</v>
      </c>
      <c r="O15" s="252">
        <f t="shared" si="5"/>
        <v>202671856.09999999</v>
      </c>
      <c r="P15" s="250">
        <f t="shared" si="5"/>
        <v>228619170</v>
      </c>
      <c r="Q15" s="266">
        <f>+Q13+Q14</f>
        <v>28584320.25</v>
      </c>
      <c r="R15" s="250">
        <f t="shared" si="4"/>
        <v>1403996231.8399999</v>
      </c>
      <c r="U15" s="225"/>
      <c r="V15" s="265"/>
      <c r="W15" s="85"/>
      <c r="X15" s="24"/>
    </row>
    <row r="16" spans="3:26">
      <c r="I16" s="164"/>
      <c r="K16" s="27"/>
      <c r="L16" s="24"/>
      <c r="N16" s="23">
        <f>+'[1]RELACION COCIDA 2022'!$N$73</f>
        <v>0</v>
      </c>
      <c r="Q16" s="24"/>
      <c r="U16" s="23"/>
      <c r="V16" s="266"/>
    </row>
    <row r="17" spans="2:20">
      <c r="R17" s="27"/>
    </row>
    <row r="18" spans="2:20">
      <c r="B18" s="42"/>
      <c r="C18" s="272"/>
      <c r="D18" s="272"/>
      <c r="E18" s="42"/>
      <c r="F18" s="42"/>
      <c r="T18" s="16"/>
    </row>
    <row r="19" spans="2:20">
      <c r="B19" s="42"/>
      <c r="C19" s="108" t="s">
        <v>219</v>
      </c>
      <c r="D19" s="273" t="e">
        <f>+#REF!</f>
        <v>#REF!</v>
      </c>
      <c r="E19" s="48">
        <f>+R13</f>
        <v>194173065.83000001</v>
      </c>
      <c r="F19" s="42"/>
      <c r="Q19" s="24"/>
    </row>
    <row r="20" spans="2:20">
      <c r="B20" s="42"/>
      <c r="C20" s="115" t="s">
        <v>221</v>
      </c>
      <c r="D20" s="276" t="e">
        <f>+#REF!</f>
        <v>#REF!</v>
      </c>
      <c r="E20" s="54">
        <v>1459929468.6600001</v>
      </c>
      <c r="F20" s="277" t="e">
        <f>+E20/D20</f>
        <v>#REF!</v>
      </c>
      <c r="G20" s="42"/>
      <c r="Q20" s="27"/>
    </row>
    <row r="21" spans="2:20">
      <c r="B21" s="42"/>
      <c r="C21" s="42" t="s">
        <v>220</v>
      </c>
      <c r="D21" s="273">
        <v>8580448</v>
      </c>
      <c r="E21" s="42">
        <v>1664606912</v>
      </c>
      <c r="F21" s="278">
        <v>62.053400000000003</v>
      </c>
      <c r="G21" s="54"/>
      <c r="H21" s="27"/>
      <c r="Q21" s="27"/>
    </row>
    <row r="22" spans="2:20">
      <c r="B22" s="42"/>
      <c r="C22" s="272"/>
      <c r="D22" s="274" t="e">
        <f>SUM(D19:D21)</f>
        <v>#REF!</v>
      </c>
      <c r="E22" s="275">
        <f>SUM(E19:E21)</f>
        <v>3318709446.4899998</v>
      </c>
      <c r="F22" s="42"/>
    </row>
    <row r="23" spans="2:20">
      <c r="E23" s="42"/>
      <c r="F23" s="42"/>
    </row>
    <row r="24" spans="2:20">
      <c r="E24" s="42"/>
      <c r="F24" s="42"/>
    </row>
  </sheetData>
  <mergeCells count="2">
    <mergeCell ref="C3:D3"/>
    <mergeCell ref="C4:D4"/>
  </mergeCell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4"/>
  <sheetViews>
    <sheetView topLeftCell="L55" workbookViewId="0">
      <selection activeCell="Q72" sqref="F72:Q72"/>
    </sheetView>
  </sheetViews>
  <sheetFormatPr baseColWidth="10" defaultRowHeight="15"/>
  <cols>
    <col min="1" max="1" width="0" hidden="1" customWidth="1"/>
    <col min="2" max="2" width="4.7109375" customWidth="1"/>
    <col min="3" max="3" width="33.5703125" style="115" customWidth="1"/>
    <col min="4" max="4" width="15.140625" style="115" customWidth="1"/>
    <col min="5" max="5" width="16.42578125" customWidth="1"/>
    <col min="6" max="6" width="23.28515625" customWidth="1"/>
    <col min="7" max="7" width="16.85546875" customWidth="1"/>
    <col min="8" max="8" width="18.42578125" customWidth="1"/>
    <col min="9" max="9" width="15.42578125" customWidth="1"/>
    <col min="10" max="10" width="17" customWidth="1"/>
    <col min="11" max="11" width="17.140625" customWidth="1"/>
    <col min="12" max="12" width="16.140625" customWidth="1"/>
    <col min="13" max="13" width="17.7109375" customWidth="1"/>
    <col min="14" max="14" width="16.85546875" customWidth="1"/>
    <col min="15" max="15" width="17.42578125" customWidth="1"/>
    <col min="16" max="16" width="16.42578125" customWidth="1"/>
    <col min="17" max="17" width="18.7109375" customWidth="1"/>
    <col min="18" max="18" width="19.28515625" customWidth="1"/>
    <col min="19" max="19" width="6.28515625" customWidth="1"/>
    <col min="20" max="20" width="21.85546875" customWidth="1"/>
    <col min="21" max="21" width="19" customWidth="1"/>
    <col min="22" max="22" width="18" customWidth="1"/>
    <col min="23" max="23" width="16.85546875" bestFit="1" customWidth="1"/>
    <col min="24" max="24" width="17.28515625" bestFit="1" customWidth="1"/>
  </cols>
  <sheetData>
    <row r="1" spans="3:22">
      <c r="F1" s="24"/>
    </row>
    <row r="2" spans="3:22" ht="15.75" thickBot="1">
      <c r="L2" s="27"/>
      <c r="M2" s="16"/>
      <c r="N2" s="27"/>
      <c r="O2" s="27"/>
      <c r="P2" s="27"/>
      <c r="Q2" s="27"/>
      <c r="R2" s="27"/>
      <c r="T2" s="27"/>
      <c r="U2" s="27"/>
    </row>
    <row r="3" spans="3:22" ht="15.75" thickBot="1">
      <c r="C3" s="385" t="s">
        <v>71</v>
      </c>
      <c r="D3" s="386"/>
    </row>
    <row r="4" spans="3:22" ht="36" customHeight="1" thickBot="1">
      <c r="C4" s="387" t="s">
        <v>1</v>
      </c>
      <c r="D4" s="388"/>
      <c r="F4" s="116" t="s">
        <v>48</v>
      </c>
      <c r="G4" s="116" t="s">
        <v>49</v>
      </c>
      <c r="H4" s="116" t="s">
        <v>50</v>
      </c>
      <c r="I4" s="116" t="s">
        <v>51</v>
      </c>
      <c r="J4" s="116" t="s">
        <v>52</v>
      </c>
      <c r="K4" s="116" t="s">
        <v>53</v>
      </c>
      <c r="L4" s="116" t="s">
        <v>54</v>
      </c>
      <c r="M4" s="117" t="s">
        <v>55</v>
      </c>
      <c r="N4" s="118" t="s">
        <v>140</v>
      </c>
      <c r="O4" s="118" t="s">
        <v>57</v>
      </c>
      <c r="P4" s="259" t="s">
        <v>147</v>
      </c>
      <c r="Q4" s="260" t="s">
        <v>67</v>
      </c>
      <c r="R4" s="116" t="s">
        <v>58</v>
      </c>
      <c r="T4" s="261" t="s">
        <v>215</v>
      </c>
      <c r="U4" s="267" t="s">
        <v>67</v>
      </c>
    </row>
    <row r="5" spans="3:22" ht="15.75" thickBot="1">
      <c r="C5" s="119" t="s">
        <v>2</v>
      </c>
      <c r="D5" s="120">
        <f>+R5</f>
        <v>3168732</v>
      </c>
      <c r="F5" s="121">
        <v>167611</v>
      </c>
      <c r="G5" s="121">
        <v>204847</v>
      </c>
      <c r="H5" s="121">
        <v>242819</v>
      </c>
      <c r="I5" s="121">
        <f>242483+41685</f>
        <v>284168</v>
      </c>
      <c r="J5" s="121">
        <f>184067+49875</f>
        <v>233942</v>
      </c>
      <c r="K5" s="121">
        <f>188886+48164</f>
        <v>237050</v>
      </c>
      <c r="L5" s="121">
        <f>202421+49838</f>
        <v>252259</v>
      </c>
      <c r="M5" s="121">
        <f>208514+50141</f>
        <v>258655</v>
      </c>
      <c r="N5" s="122">
        <f>58965+303743</f>
        <v>362708</v>
      </c>
      <c r="O5" s="122">
        <v>300821</v>
      </c>
      <c r="P5" s="122">
        <f>74896+196344</f>
        <v>271240</v>
      </c>
      <c r="Q5" s="122">
        <v>352612</v>
      </c>
      <c r="R5" s="13">
        <f>+F5+G5+H5+I5+J5+K5+L5+M5+N5+O5+P5+Q5</f>
        <v>3168732</v>
      </c>
      <c r="T5" s="122" t="e">
        <f>+#REF!</f>
        <v>#REF!</v>
      </c>
      <c r="U5" s="121" t="e">
        <f>+Q5+T5</f>
        <v>#REF!</v>
      </c>
    </row>
    <row r="6" spans="3:22" ht="15.75" thickBot="1">
      <c r="C6" s="123" t="s">
        <v>3</v>
      </c>
      <c r="D6" s="124"/>
      <c r="F6" s="112">
        <f t="shared" ref="F6:L6" si="0">+F5</f>
        <v>167611</v>
      </c>
      <c r="G6" s="125">
        <f t="shared" si="0"/>
        <v>204847</v>
      </c>
      <c r="H6" s="125">
        <f t="shared" si="0"/>
        <v>242819</v>
      </c>
      <c r="I6" s="125">
        <f t="shared" si="0"/>
        <v>284168</v>
      </c>
      <c r="J6" s="125">
        <f t="shared" si="0"/>
        <v>233942</v>
      </c>
      <c r="K6" s="125">
        <f t="shared" si="0"/>
        <v>237050</v>
      </c>
      <c r="L6" s="125">
        <f t="shared" si="0"/>
        <v>252259</v>
      </c>
      <c r="M6" s="125">
        <v>258655</v>
      </c>
      <c r="N6" s="125">
        <f>+N5</f>
        <v>362708</v>
      </c>
      <c r="O6" s="126">
        <f>+O5</f>
        <v>300821</v>
      </c>
      <c r="P6" s="126">
        <f>+P5</f>
        <v>271240</v>
      </c>
      <c r="Q6" s="125">
        <f t="shared" ref="Q6" si="1">+Q5</f>
        <v>352612</v>
      </c>
      <c r="R6" s="45">
        <f>+R5</f>
        <v>3168732</v>
      </c>
      <c r="S6" s="47"/>
      <c r="T6" s="126"/>
      <c r="U6" s="125" t="e">
        <f t="shared" ref="U6" si="2">+U5</f>
        <v>#REF!</v>
      </c>
    </row>
    <row r="7" spans="3:22">
      <c r="C7" s="127" t="s">
        <v>4</v>
      </c>
      <c r="D7" s="128">
        <f>+R7</f>
        <v>4607507</v>
      </c>
      <c r="E7" s="27">
        <f>+D7*62.0535</f>
        <v>285911935.62449998</v>
      </c>
      <c r="F7" s="13">
        <v>97194</v>
      </c>
      <c r="G7" s="13">
        <v>248639</v>
      </c>
      <c r="H7" s="13">
        <v>318079</v>
      </c>
      <c r="I7" s="13">
        <f>86892+158980</f>
        <v>245872</v>
      </c>
      <c r="J7" s="13">
        <f>196940+1780+122917</f>
        <v>321637</v>
      </c>
      <c r="K7" s="13">
        <f>177240+1740+108743</f>
        <v>287723</v>
      </c>
      <c r="L7" s="13">
        <f>184240+1720+118769</f>
        <v>304729</v>
      </c>
      <c r="M7" s="13">
        <v>344744</v>
      </c>
      <c r="N7" s="44">
        <v>393439</v>
      </c>
      <c r="O7" s="13">
        <v>418582</v>
      </c>
      <c r="P7" s="13">
        <v>415643</v>
      </c>
      <c r="Q7" s="13">
        <f>1211226</f>
        <v>1211226</v>
      </c>
      <c r="R7" s="13">
        <f t="shared" ref="R7:R38" si="3">SUM(F7:Q7)</f>
        <v>4607507</v>
      </c>
      <c r="T7" s="262"/>
      <c r="U7" s="13">
        <f>255470+1980+202588+1151188</f>
        <v>1611226</v>
      </c>
    </row>
    <row r="8" spans="3:22">
      <c r="C8" s="129" t="s">
        <v>5</v>
      </c>
      <c r="D8" s="128">
        <f t="shared" ref="D8:D65" si="4">+R8</f>
        <v>802011</v>
      </c>
      <c r="E8" s="27">
        <f t="shared" ref="E8:E44" si="5">+D8*62.0535</f>
        <v>49767589.588500001</v>
      </c>
      <c r="F8" s="13">
        <v>38209</v>
      </c>
      <c r="G8" s="13">
        <v>57597</v>
      </c>
      <c r="H8" s="13">
        <v>60822</v>
      </c>
      <c r="I8" s="13">
        <f>33728+52497</f>
        <v>86225</v>
      </c>
      <c r="J8" s="13">
        <f>25765+30851+2675</f>
        <v>59291</v>
      </c>
      <c r="K8" s="13">
        <f>43172+2675+28328+60</f>
        <v>74235</v>
      </c>
      <c r="L8" s="13">
        <f>440+28970+2706+30985</f>
        <v>63101</v>
      </c>
      <c r="M8" s="13">
        <v>73632</v>
      </c>
      <c r="N8" s="44">
        <v>56652</v>
      </c>
      <c r="O8" s="13">
        <v>57898</v>
      </c>
      <c r="P8" s="44">
        <v>61197</v>
      </c>
      <c r="Q8" s="44">
        <f>113152</f>
        <v>113152</v>
      </c>
      <c r="R8" s="13">
        <f t="shared" si="3"/>
        <v>802011</v>
      </c>
      <c r="T8" s="262"/>
      <c r="U8" s="44">
        <f>7550+3210+23842+1596919</f>
        <v>1631521</v>
      </c>
    </row>
    <row r="9" spans="3:22">
      <c r="C9" s="127" t="s">
        <v>6</v>
      </c>
      <c r="D9" s="128">
        <f t="shared" si="4"/>
        <v>1039792</v>
      </c>
      <c r="E9" s="27">
        <f t="shared" si="5"/>
        <v>64522732.872000001</v>
      </c>
      <c r="F9" s="13">
        <v>39207</v>
      </c>
      <c r="G9" s="13">
        <v>92854</v>
      </c>
      <c r="H9" s="13">
        <v>84579</v>
      </c>
      <c r="I9" s="13">
        <f>60492+28300</f>
        <v>88792</v>
      </c>
      <c r="J9" s="13">
        <f>73474+21825+9540</f>
        <v>104839</v>
      </c>
      <c r="K9" s="13">
        <f>450+14000+9480+60784</f>
        <v>84714</v>
      </c>
      <c r="L9" s="13">
        <f>31060+9510+73775</f>
        <v>114345</v>
      </c>
      <c r="M9" s="13">
        <v>85601</v>
      </c>
      <c r="N9" s="44">
        <v>90881</v>
      </c>
      <c r="O9" s="13">
        <v>84414</v>
      </c>
      <c r="P9" s="44">
        <f>117159-50000</f>
        <v>67159</v>
      </c>
      <c r="Q9" s="44">
        <f>102407</f>
        <v>102407</v>
      </c>
      <c r="R9" s="13">
        <f t="shared" si="3"/>
        <v>1039792</v>
      </c>
      <c r="S9" s="27"/>
      <c r="T9" s="262"/>
      <c r="U9" s="44">
        <f>11085+55560+1527427</f>
        <v>1594072</v>
      </c>
      <c r="V9" s="16"/>
    </row>
    <row r="10" spans="3:22">
      <c r="C10" s="129" t="s">
        <v>7</v>
      </c>
      <c r="D10" s="128">
        <f t="shared" si="4"/>
        <v>792627</v>
      </c>
      <c r="E10" s="27">
        <f t="shared" si="5"/>
        <v>49185279.544500001</v>
      </c>
      <c r="F10" s="13">
        <v>25066</v>
      </c>
      <c r="G10" s="13">
        <v>53030</v>
      </c>
      <c r="H10" s="13">
        <v>62757</v>
      </c>
      <c r="I10" s="13">
        <f>59047+2850</f>
        <v>61897</v>
      </c>
      <c r="J10" s="13">
        <v>77159</v>
      </c>
      <c r="K10" s="13">
        <f>4470+4132+70899</f>
        <v>79501</v>
      </c>
      <c r="L10" s="13">
        <f>7660+4425+72810</f>
        <v>84895</v>
      </c>
      <c r="M10" s="13">
        <v>78750</v>
      </c>
      <c r="N10" s="44">
        <v>69687</v>
      </c>
      <c r="O10" s="13">
        <v>60371</v>
      </c>
      <c r="P10" s="44">
        <v>77898</v>
      </c>
      <c r="Q10" s="44">
        <f>5625+55991</f>
        <v>61616</v>
      </c>
      <c r="R10" s="13">
        <f t="shared" si="3"/>
        <v>792627</v>
      </c>
      <c r="T10" s="262"/>
      <c r="U10" s="44">
        <f>5625+35991+388104</f>
        <v>429720</v>
      </c>
    </row>
    <row r="11" spans="3:22">
      <c r="C11" s="127" t="s">
        <v>8</v>
      </c>
      <c r="D11" s="128">
        <f t="shared" si="4"/>
        <v>774502</v>
      </c>
      <c r="E11" s="27">
        <f t="shared" si="5"/>
        <v>48060559.857000001</v>
      </c>
      <c r="F11" s="13">
        <v>15865</v>
      </c>
      <c r="G11" s="13">
        <v>27467</v>
      </c>
      <c r="H11" s="13">
        <v>45072</v>
      </c>
      <c r="I11" s="13">
        <v>46043</v>
      </c>
      <c r="J11" s="13">
        <f>56179+652+600</f>
        <v>57431</v>
      </c>
      <c r="K11" s="13">
        <f>1200+674+75040</f>
        <v>76914</v>
      </c>
      <c r="L11" s="13">
        <f>692+83252</f>
        <v>83944</v>
      </c>
      <c r="M11" s="13">
        <v>81520</v>
      </c>
      <c r="N11" s="44">
        <v>80310</v>
      </c>
      <c r="O11" s="13">
        <v>85146</v>
      </c>
      <c r="P11" s="44">
        <v>94585</v>
      </c>
      <c r="Q11" s="44">
        <f>644+79561</f>
        <v>80205</v>
      </c>
      <c r="R11" s="13">
        <f t="shared" si="3"/>
        <v>774502</v>
      </c>
      <c r="T11" s="262"/>
      <c r="U11" s="44">
        <f>644+39561+350656</f>
        <v>390861</v>
      </c>
    </row>
    <row r="12" spans="3:22">
      <c r="C12" s="129" t="s">
        <v>9</v>
      </c>
      <c r="D12" s="128">
        <f t="shared" si="4"/>
        <v>974275</v>
      </c>
      <c r="E12" s="27">
        <f t="shared" si="5"/>
        <v>60457173.712499999</v>
      </c>
      <c r="F12" s="13">
        <v>28739</v>
      </c>
      <c r="G12" s="13">
        <v>54544</v>
      </c>
      <c r="H12" s="13">
        <v>80175</v>
      </c>
      <c r="I12" s="13">
        <f>70988+9115</f>
        <v>80103</v>
      </c>
      <c r="J12" s="13">
        <f>6775+814+68389</f>
        <v>75978</v>
      </c>
      <c r="K12" s="13">
        <f>8415+813+76815</f>
        <v>86043</v>
      </c>
      <c r="L12" s="13">
        <f>8805+857+78832</f>
        <v>88494</v>
      </c>
      <c r="M12" s="13">
        <v>93778</v>
      </c>
      <c r="N12" s="44">
        <v>100407</v>
      </c>
      <c r="O12" s="13">
        <v>96389</v>
      </c>
      <c r="P12" s="44">
        <v>126653</v>
      </c>
      <c r="Q12" s="44">
        <f>1230+1016+81725+79001-100000</f>
        <v>62972</v>
      </c>
      <c r="R12" s="13">
        <f t="shared" si="3"/>
        <v>974275</v>
      </c>
      <c r="T12" s="262"/>
      <c r="U12" s="44">
        <f>1230+1016+81725+479001</f>
        <v>562972</v>
      </c>
    </row>
    <row r="13" spans="3:22">
      <c r="C13" s="127" t="s">
        <v>10</v>
      </c>
      <c r="D13" s="128">
        <f t="shared" si="4"/>
        <v>630594</v>
      </c>
      <c r="E13" s="27">
        <f t="shared" si="5"/>
        <v>39130564.778999999</v>
      </c>
      <c r="F13" s="13">
        <v>16021</v>
      </c>
      <c r="G13" s="13">
        <v>32893</v>
      </c>
      <c r="H13" s="13">
        <v>48662</v>
      </c>
      <c r="I13" s="13">
        <v>49025</v>
      </c>
      <c r="J13" s="13">
        <f>1086+52513+200</f>
        <v>53799</v>
      </c>
      <c r="K13" s="13">
        <f>1126+57756</f>
        <v>58882</v>
      </c>
      <c r="L13" s="13">
        <f>1174+59190</f>
        <v>60364</v>
      </c>
      <c r="M13" s="13">
        <v>59600</v>
      </c>
      <c r="N13" s="44">
        <v>57561</v>
      </c>
      <c r="O13" s="13">
        <v>71757</v>
      </c>
      <c r="P13" s="44">
        <v>82650</v>
      </c>
      <c r="Q13" s="44">
        <f>1102+37208+1070</f>
        <v>39380</v>
      </c>
      <c r="R13" s="13">
        <f t="shared" si="3"/>
        <v>630594</v>
      </c>
      <c r="T13" s="262"/>
      <c r="U13" s="44">
        <f>1102+37208+491070</f>
        <v>529380</v>
      </c>
    </row>
    <row r="14" spans="3:22">
      <c r="C14" s="129" t="s">
        <v>11</v>
      </c>
      <c r="D14" s="128">
        <f t="shared" si="4"/>
        <v>624990</v>
      </c>
      <c r="E14" s="27">
        <f t="shared" si="5"/>
        <v>38782816.964999996</v>
      </c>
      <c r="F14" s="13">
        <v>17931</v>
      </c>
      <c r="G14" s="13">
        <v>32021</v>
      </c>
      <c r="H14" s="13">
        <v>46096</v>
      </c>
      <c r="I14" s="13">
        <f>39880+3876</f>
        <v>43756</v>
      </c>
      <c r="J14" s="13">
        <v>50997</v>
      </c>
      <c r="K14" s="13">
        <f>4421+947+43263</f>
        <v>48631</v>
      </c>
      <c r="L14" s="13">
        <f>4054+1029+56817</f>
        <v>61900</v>
      </c>
      <c r="M14" s="13">
        <v>53469</v>
      </c>
      <c r="N14" s="44">
        <v>54510</v>
      </c>
      <c r="O14" s="13">
        <v>58798</v>
      </c>
      <c r="P14" s="44">
        <v>91350</v>
      </c>
      <c r="Q14" s="44">
        <f>4437+1020+43850+326224-310000</f>
        <v>65531</v>
      </c>
      <c r="R14" s="13">
        <f t="shared" si="3"/>
        <v>624990</v>
      </c>
      <c r="T14" s="262"/>
      <c r="U14" s="44">
        <f>4437+1020+43850+326224</f>
        <v>375531</v>
      </c>
    </row>
    <row r="15" spans="3:22">
      <c r="C15" s="132" t="s">
        <v>75</v>
      </c>
      <c r="D15" s="128">
        <f t="shared" si="4"/>
        <v>79480</v>
      </c>
      <c r="E15" s="27">
        <f t="shared" si="5"/>
        <v>4932012.18</v>
      </c>
      <c r="F15" s="13"/>
      <c r="G15" s="13"/>
      <c r="H15" s="13"/>
      <c r="I15" s="13"/>
      <c r="J15" s="13"/>
      <c r="K15" s="13"/>
      <c r="L15" s="13">
        <f>536+4064+261+891</f>
        <v>5752</v>
      </c>
      <c r="M15" s="13">
        <v>8792</v>
      </c>
      <c r="N15" s="44">
        <v>8882</v>
      </c>
      <c r="O15" s="13">
        <v>16516</v>
      </c>
      <c r="P15" s="44">
        <v>19232</v>
      </c>
      <c r="Q15" s="44">
        <f>517+15641+529+3619</f>
        <v>20306</v>
      </c>
      <c r="R15" s="13">
        <f t="shared" si="3"/>
        <v>79480</v>
      </c>
      <c r="T15" s="262"/>
      <c r="U15" s="44">
        <f>517+15641+529+3619</f>
        <v>20306</v>
      </c>
    </row>
    <row r="16" spans="3:22">
      <c r="C16" s="129" t="s">
        <v>216</v>
      </c>
      <c r="D16" s="128">
        <f t="shared" si="4"/>
        <v>694056</v>
      </c>
      <c r="E16" s="27">
        <f t="shared" si="5"/>
        <v>43068603.995999999</v>
      </c>
      <c r="F16" s="13"/>
      <c r="G16" s="13"/>
      <c r="H16" s="13"/>
      <c r="I16" s="13"/>
      <c r="J16" s="13"/>
      <c r="K16" s="13"/>
      <c r="L16" s="13"/>
      <c r="M16" s="13">
        <v>12393</v>
      </c>
      <c r="N16" s="44">
        <v>223152</v>
      </c>
      <c r="O16" s="13">
        <v>220424</v>
      </c>
      <c r="P16" s="44">
        <v>226877</v>
      </c>
      <c r="Q16" s="44">
        <f>287+10923</f>
        <v>11210</v>
      </c>
      <c r="R16" s="13">
        <f t="shared" si="3"/>
        <v>694056</v>
      </c>
      <c r="T16" s="262"/>
      <c r="U16" s="44">
        <f>287+10923</f>
        <v>11210</v>
      </c>
    </row>
    <row r="17" spans="3:21">
      <c r="C17" s="127" t="s">
        <v>14</v>
      </c>
      <c r="D17" s="128">
        <f t="shared" si="4"/>
        <v>194359</v>
      </c>
      <c r="E17" s="27">
        <f t="shared" si="5"/>
        <v>12060656.206499999</v>
      </c>
      <c r="F17" s="13">
        <v>8907</v>
      </c>
      <c r="G17" s="13">
        <v>11775</v>
      </c>
      <c r="H17" s="13">
        <v>14914</v>
      </c>
      <c r="I17" s="13">
        <v>12160</v>
      </c>
      <c r="J17" s="13">
        <v>16334</v>
      </c>
      <c r="K17" s="13">
        <f>410+14525</f>
        <v>14935</v>
      </c>
      <c r="L17" s="13">
        <f>548+15320</f>
        <v>15868</v>
      </c>
      <c r="M17" s="13">
        <v>18136</v>
      </c>
      <c r="N17" s="44">
        <v>15973</v>
      </c>
      <c r="O17" s="13">
        <v>15589</v>
      </c>
      <c r="P17" s="44">
        <v>14475</v>
      </c>
      <c r="Q17" s="44">
        <f>728+14845+69720-50000</f>
        <v>35293</v>
      </c>
      <c r="R17" s="13">
        <f t="shared" si="3"/>
        <v>194359</v>
      </c>
      <c r="T17" s="262"/>
      <c r="U17" s="44">
        <f>728+14845+69720</f>
        <v>85293</v>
      </c>
    </row>
    <row r="18" spans="3:21">
      <c r="C18" s="129" t="s">
        <v>12</v>
      </c>
      <c r="D18" s="128">
        <f t="shared" si="4"/>
        <v>249315</v>
      </c>
      <c r="E18" s="27">
        <f t="shared" si="5"/>
        <v>15470868.352499999</v>
      </c>
      <c r="F18" s="13">
        <v>7042</v>
      </c>
      <c r="G18" s="13">
        <v>14543</v>
      </c>
      <c r="H18" s="13">
        <v>21933</v>
      </c>
      <c r="I18" s="13">
        <v>18534</v>
      </c>
      <c r="J18" s="13">
        <v>20859</v>
      </c>
      <c r="K18" s="13">
        <f>900+462+20084</f>
        <v>21446</v>
      </c>
      <c r="L18" s="13">
        <f>462+19646</f>
        <v>20108</v>
      </c>
      <c r="M18" s="13">
        <v>22511</v>
      </c>
      <c r="N18" s="44">
        <v>25660</v>
      </c>
      <c r="O18" s="13">
        <v>23144</v>
      </c>
      <c r="P18" s="44">
        <v>23514</v>
      </c>
      <c r="Q18" s="44">
        <f>1250+462+16559+21750-10000</f>
        <v>30021</v>
      </c>
      <c r="R18" s="13">
        <f t="shared" si="3"/>
        <v>249315</v>
      </c>
      <c r="T18" s="262"/>
      <c r="U18" s="44">
        <f>1250+462+16559+21750</f>
        <v>40021</v>
      </c>
    </row>
    <row r="19" spans="3:21">
      <c r="C19" s="127" t="s">
        <v>13</v>
      </c>
      <c r="D19" s="128">
        <f t="shared" si="4"/>
        <v>224146</v>
      </c>
      <c r="E19" s="27">
        <f t="shared" si="5"/>
        <v>13909043.811000001</v>
      </c>
      <c r="F19" s="13">
        <v>9637</v>
      </c>
      <c r="G19" s="13">
        <v>14674</v>
      </c>
      <c r="H19" s="13">
        <v>18989</v>
      </c>
      <c r="I19" s="13">
        <v>15157</v>
      </c>
      <c r="J19" s="13">
        <v>16817</v>
      </c>
      <c r="K19" s="13">
        <f>354+16290</f>
        <v>16644</v>
      </c>
      <c r="L19" s="13">
        <f>379+17642</f>
        <v>18021</v>
      </c>
      <c r="M19" s="13">
        <v>21781</v>
      </c>
      <c r="N19" s="44">
        <v>20330</v>
      </c>
      <c r="O19" s="13">
        <v>18945</v>
      </c>
      <c r="P19" s="44">
        <v>19994</v>
      </c>
      <c r="Q19" s="44">
        <f>341+32816</f>
        <v>33157</v>
      </c>
      <c r="R19" s="13">
        <f t="shared" si="3"/>
        <v>224146</v>
      </c>
      <c r="T19" s="262"/>
      <c r="U19" s="44">
        <f>341+32816</f>
        <v>33157</v>
      </c>
    </row>
    <row r="20" spans="3:21">
      <c r="C20" s="129" t="s">
        <v>15</v>
      </c>
      <c r="D20" s="128">
        <f t="shared" si="4"/>
        <v>215879</v>
      </c>
      <c r="E20" s="27">
        <f t="shared" si="5"/>
        <v>13396047.5265</v>
      </c>
      <c r="F20" s="13">
        <v>14683</v>
      </c>
      <c r="G20" s="13">
        <v>23350</v>
      </c>
      <c r="H20" s="13">
        <v>27586</v>
      </c>
      <c r="I20" s="13">
        <v>16677</v>
      </c>
      <c r="J20" s="13">
        <v>27748</v>
      </c>
      <c r="K20" s="13">
        <f>234+13467</f>
        <v>13701</v>
      </c>
      <c r="L20" s="13">
        <f>226+11815</f>
        <v>12041</v>
      </c>
      <c r="M20" s="13">
        <v>11082</v>
      </c>
      <c r="N20" s="44">
        <v>21413</v>
      </c>
      <c r="O20" s="13">
        <v>19342</v>
      </c>
      <c r="P20" s="44">
        <v>16167</v>
      </c>
      <c r="Q20" s="44">
        <f>333+10486+101270-100000</f>
        <v>12089</v>
      </c>
      <c r="R20" s="13">
        <f t="shared" si="3"/>
        <v>215879</v>
      </c>
      <c r="T20" s="262"/>
      <c r="U20" s="44">
        <f>333+10486+101270</f>
        <v>112089</v>
      </c>
    </row>
    <row r="21" spans="3:21">
      <c r="C21" s="127" t="s">
        <v>18</v>
      </c>
      <c r="D21" s="128">
        <f t="shared" si="4"/>
        <v>260222</v>
      </c>
      <c r="E21" s="27">
        <f t="shared" si="5"/>
        <v>16147685.877</v>
      </c>
      <c r="F21" s="13">
        <v>7993</v>
      </c>
      <c r="G21" s="13">
        <v>15956</v>
      </c>
      <c r="H21" s="13">
        <v>26460</v>
      </c>
      <c r="I21" s="13">
        <v>9833</v>
      </c>
      <c r="J21" s="13">
        <v>32729</v>
      </c>
      <c r="K21" s="13">
        <f>345+13072+170</f>
        <v>13587</v>
      </c>
      <c r="L21" s="44">
        <f>367+15807+270</f>
        <v>16444</v>
      </c>
      <c r="M21" s="13">
        <v>16140</v>
      </c>
      <c r="N21" s="44">
        <v>27823</v>
      </c>
      <c r="O21" s="13">
        <v>24074</v>
      </c>
      <c r="P21" s="44">
        <v>22688</v>
      </c>
      <c r="Q21" s="44">
        <f>294+15841+80360-50000</f>
        <v>46495</v>
      </c>
      <c r="R21" s="13">
        <f t="shared" si="3"/>
        <v>260222</v>
      </c>
      <c r="T21" s="262"/>
      <c r="U21" s="44">
        <f>294+15841+80360</f>
        <v>96495</v>
      </c>
    </row>
    <row r="22" spans="3:21">
      <c r="C22" s="129" t="s">
        <v>70</v>
      </c>
      <c r="D22" s="128">
        <f t="shared" si="4"/>
        <v>245534</v>
      </c>
      <c r="E22" s="27">
        <f t="shared" si="5"/>
        <v>15236244.069</v>
      </c>
      <c r="F22" s="13"/>
      <c r="G22" s="13"/>
      <c r="H22" s="13"/>
      <c r="I22" s="13"/>
      <c r="J22" s="13"/>
      <c r="K22" s="13">
        <f>288+26236</f>
        <v>26524</v>
      </c>
      <c r="L22" s="44">
        <f>384+32793</f>
        <v>33177</v>
      </c>
      <c r="M22" s="13">
        <v>34800</v>
      </c>
      <c r="N22" s="44">
        <v>42011</v>
      </c>
      <c r="O22" s="13">
        <v>34686</v>
      </c>
      <c r="P22" s="44">
        <v>36135</v>
      </c>
      <c r="Q22" s="44">
        <f>311+35840+52050-50000</f>
        <v>38201</v>
      </c>
      <c r="R22" s="13">
        <f t="shared" si="3"/>
        <v>245534</v>
      </c>
      <c r="T22" s="262"/>
      <c r="U22" s="44">
        <f>311+35840+52050</f>
        <v>88201</v>
      </c>
    </row>
    <row r="23" spans="3:21">
      <c r="C23" s="127" t="s">
        <v>141</v>
      </c>
      <c r="D23" s="128">
        <f t="shared" si="4"/>
        <v>20393</v>
      </c>
      <c r="E23" s="27">
        <f t="shared" si="5"/>
        <v>1265457.0255</v>
      </c>
      <c r="F23" s="13"/>
      <c r="G23" s="13"/>
      <c r="H23" s="13"/>
      <c r="I23" s="13"/>
      <c r="J23" s="13"/>
      <c r="K23" s="13"/>
      <c r="L23" s="44"/>
      <c r="M23" s="13"/>
      <c r="N23" s="44">
        <v>20393</v>
      </c>
      <c r="O23" s="13"/>
      <c r="P23" s="44"/>
      <c r="Q23" s="44"/>
      <c r="R23" s="13">
        <f t="shared" si="3"/>
        <v>20393</v>
      </c>
      <c r="T23" s="262"/>
      <c r="U23" s="44"/>
    </row>
    <row r="24" spans="3:21">
      <c r="C24" s="129" t="s">
        <v>16</v>
      </c>
      <c r="D24" s="128">
        <f t="shared" si="4"/>
        <v>204381</v>
      </c>
      <c r="E24" s="27">
        <f t="shared" si="5"/>
        <v>12682556.3835</v>
      </c>
      <c r="F24" s="13">
        <v>5562</v>
      </c>
      <c r="G24" s="13">
        <v>12152</v>
      </c>
      <c r="H24" s="13">
        <v>15591</v>
      </c>
      <c r="I24" s="13">
        <v>14985</v>
      </c>
      <c r="J24" s="13">
        <v>12007</v>
      </c>
      <c r="K24" s="13">
        <f>338+17396</f>
        <v>17734</v>
      </c>
      <c r="L24" s="13">
        <f>345+18007</f>
        <v>18352</v>
      </c>
      <c r="M24" s="13">
        <v>20099</v>
      </c>
      <c r="N24" s="44">
        <v>20692</v>
      </c>
      <c r="O24" s="13">
        <v>15519</v>
      </c>
      <c r="P24" s="44">
        <v>18854</v>
      </c>
      <c r="Q24" s="44">
        <f>321+18273+39240-25000</f>
        <v>32834</v>
      </c>
      <c r="R24" s="13">
        <f t="shared" si="3"/>
        <v>204381</v>
      </c>
      <c r="T24" s="262"/>
      <c r="U24" s="44">
        <f>321+18273+39240</f>
        <v>57834</v>
      </c>
    </row>
    <row r="25" spans="3:21">
      <c r="C25" s="127" t="s">
        <v>17</v>
      </c>
      <c r="D25" s="128">
        <f t="shared" si="4"/>
        <v>250132</v>
      </c>
      <c r="E25" s="27">
        <f t="shared" si="5"/>
        <v>15521566.061999999</v>
      </c>
      <c r="F25" s="13">
        <v>7902</v>
      </c>
      <c r="G25" s="13">
        <v>13863</v>
      </c>
      <c r="H25" s="13">
        <v>15135</v>
      </c>
      <c r="I25" s="13">
        <v>12865</v>
      </c>
      <c r="J25" s="13">
        <v>15134</v>
      </c>
      <c r="K25" s="13">
        <f>576+16327</f>
        <v>16903</v>
      </c>
      <c r="L25" s="13">
        <f>653+16919</f>
        <v>17572</v>
      </c>
      <c r="M25" s="13">
        <v>19921</v>
      </c>
      <c r="N25" s="44">
        <v>26614</v>
      </c>
      <c r="O25" s="13">
        <v>23406</v>
      </c>
      <c r="P25" s="44">
        <v>30720</v>
      </c>
      <c r="Q25" s="44">
        <f>688+18131+106278-75000</f>
        <v>50097</v>
      </c>
      <c r="R25" s="13">
        <f t="shared" si="3"/>
        <v>250132</v>
      </c>
      <c r="T25" s="262"/>
      <c r="U25" s="44">
        <f>688+18131+106278</f>
        <v>125097</v>
      </c>
    </row>
    <row r="26" spans="3:21">
      <c r="C26" s="129" t="s">
        <v>19</v>
      </c>
      <c r="D26" s="128">
        <f t="shared" si="4"/>
        <v>501650</v>
      </c>
      <c r="E26" s="27">
        <f t="shared" si="5"/>
        <v>31129138.274999999</v>
      </c>
      <c r="F26" s="13">
        <v>16322</v>
      </c>
      <c r="G26" s="13">
        <v>29545</v>
      </c>
      <c r="H26" s="13">
        <v>37820</v>
      </c>
      <c r="I26" s="13">
        <v>37542</v>
      </c>
      <c r="J26" s="13">
        <v>37465</v>
      </c>
      <c r="K26" s="13">
        <f>580+44721</f>
        <v>45301</v>
      </c>
      <c r="L26" s="13">
        <f>553+45897</f>
        <v>46450</v>
      </c>
      <c r="M26" s="13">
        <v>52781</v>
      </c>
      <c r="N26" s="44">
        <v>55306</v>
      </c>
      <c r="O26" s="13">
        <v>51437</v>
      </c>
      <c r="P26" s="44">
        <v>61825</v>
      </c>
      <c r="Q26" s="44">
        <f>761+51985+277110-300000</f>
        <v>29856</v>
      </c>
      <c r="R26" s="13">
        <f t="shared" si="3"/>
        <v>501650</v>
      </c>
      <c r="T26" s="262"/>
      <c r="U26" s="44">
        <f>761+51985+277110</f>
        <v>329856</v>
      </c>
    </row>
    <row r="27" spans="3:21">
      <c r="C27" s="127" t="s">
        <v>217</v>
      </c>
      <c r="D27" s="128">
        <f t="shared" si="4"/>
        <v>106643</v>
      </c>
      <c r="E27" s="27">
        <f t="shared" si="5"/>
        <v>6617571.4004999995</v>
      </c>
      <c r="F27" s="13"/>
      <c r="G27" s="13"/>
      <c r="H27" s="13"/>
      <c r="I27" s="13"/>
      <c r="J27" s="13"/>
      <c r="K27" s="13"/>
      <c r="L27" s="13"/>
      <c r="M27" s="13"/>
      <c r="N27" s="44"/>
      <c r="O27" s="13">
        <v>8251</v>
      </c>
      <c r="P27" s="44">
        <v>18196</v>
      </c>
      <c r="Q27" s="44">
        <f>546+17070+62580</f>
        <v>80196</v>
      </c>
      <c r="R27" s="13">
        <f t="shared" si="3"/>
        <v>106643</v>
      </c>
      <c r="T27" s="262"/>
      <c r="U27" s="44">
        <f>546+17070+62580</f>
        <v>80196</v>
      </c>
    </row>
    <row r="28" spans="3:21">
      <c r="C28" s="129" t="s">
        <v>20</v>
      </c>
      <c r="D28" s="128">
        <f t="shared" si="4"/>
        <v>342527</v>
      </c>
      <c r="E28" s="27">
        <f t="shared" si="5"/>
        <v>21254999.194499999</v>
      </c>
      <c r="F28" s="13">
        <v>6801</v>
      </c>
      <c r="G28" s="13">
        <v>10270</v>
      </c>
      <c r="H28" s="13">
        <v>12858</v>
      </c>
      <c r="I28" s="13">
        <f>22868+5400</f>
        <v>28268</v>
      </c>
      <c r="J28" s="13">
        <v>12295</v>
      </c>
      <c r="K28" s="13">
        <f>4200+270+28670</f>
        <v>33140</v>
      </c>
      <c r="L28" s="13">
        <f>4200+229+30395</f>
        <v>34824</v>
      </c>
      <c r="M28" s="13">
        <v>38279</v>
      </c>
      <c r="N28" s="44">
        <v>37958</v>
      </c>
      <c r="O28" s="13">
        <v>36592</v>
      </c>
      <c r="P28" s="44">
        <v>39040</v>
      </c>
      <c r="Q28" s="44">
        <f>5250+390+32462+89100-75000</f>
        <v>52202</v>
      </c>
      <c r="R28" s="13">
        <f t="shared" si="3"/>
        <v>342527</v>
      </c>
      <c r="T28" s="262"/>
      <c r="U28" s="44">
        <f>5250+390+32462+89100</f>
        <v>127202</v>
      </c>
    </row>
    <row r="29" spans="3:21">
      <c r="C29" s="127" t="s">
        <v>21</v>
      </c>
      <c r="D29" s="128">
        <f t="shared" si="4"/>
        <v>392427</v>
      </c>
      <c r="E29" s="27">
        <f t="shared" si="5"/>
        <v>24351468.844500002</v>
      </c>
      <c r="F29" s="13">
        <v>10846</v>
      </c>
      <c r="G29" s="13">
        <v>16980</v>
      </c>
      <c r="H29" s="13">
        <v>27090</v>
      </c>
      <c r="I29" s="13">
        <f>23224+1342</f>
        <v>24566</v>
      </c>
      <c r="J29" s="13">
        <v>29308</v>
      </c>
      <c r="K29" s="13">
        <f>1218+528+26329</f>
        <v>28075</v>
      </c>
      <c r="L29" s="13">
        <f>1218+548+28952</f>
        <v>30718</v>
      </c>
      <c r="M29" s="13">
        <v>32417</v>
      </c>
      <c r="N29" s="44">
        <v>34407</v>
      </c>
      <c r="O29" s="13">
        <v>33135</v>
      </c>
      <c r="P29" s="44">
        <v>36553</v>
      </c>
      <c r="Q29" s="44">
        <f>946+556+31170+105660-50000</f>
        <v>88332</v>
      </c>
      <c r="R29" s="13">
        <f t="shared" si="3"/>
        <v>392427</v>
      </c>
      <c r="T29" s="262"/>
      <c r="U29" s="44">
        <f>946+556+31170+105660</f>
        <v>138332</v>
      </c>
    </row>
    <row r="30" spans="3:21">
      <c r="C30" s="129" t="s">
        <v>144</v>
      </c>
      <c r="D30" s="128">
        <f t="shared" si="4"/>
        <v>125414</v>
      </c>
      <c r="E30" s="27">
        <f t="shared" si="5"/>
        <v>7782377.6490000002</v>
      </c>
      <c r="F30" s="13"/>
      <c r="G30" s="13"/>
      <c r="H30" s="13"/>
      <c r="I30" s="13"/>
      <c r="J30" s="13"/>
      <c r="K30" s="13"/>
      <c r="L30" s="13"/>
      <c r="M30" s="13"/>
      <c r="N30" s="44"/>
      <c r="O30" s="13">
        <v>20989</v>
      </c>
      <c r="P30" s="44">
        <v>33710</v>
      </c>
      <c r="Q30" s="44">
        <f>417+33298+112000-75000</f>
        <v>70715</v>
      </c>
      <c r="R30" s="13">
        <f t="shared" si="3"/>
        <v>125414</v>
      </c>
      <c r="T30" s="262"/>
      <c r="U30" s="44">
        <f>417+33298+112000</f>
        <v>145715</v>
      </c>
    </row>
    <row r="31" spans="3:21">
      <c r="C31" s="127" t="s">
        <v>22</v>
      </c>
      <c r="D31" s="128">
        <f t="shared" si="4"/>
        <v>934058</v>
      </c>
      <c r="E31" s="27">
        <f t="shared" si="5"/>
        <v>57961568.103</v>
      </c>
      <c r="F31" s="13">
        <v>17242</v>
      </c>
      <c r="G31" s="13">
        <v>58710</v>
      </c>
      <c r="H31" s="13">
        <v>105349</v>
      </c>
      <c r="I31" s="13">
        <f>46575+25600</f>
        <v>72175</v>
      </c>
      <c r="J31" s="13">
        <v>79440</v>
      </c>
      <c r="K31" s="13">
        <f>23000+1360+48018</f>
        <v>72378</v>
      </c>
      <c r="L31" s="13">
        <f>25750+1570+45650</f>
        <v>72970</v>
      </c>
      <c r="M31" s="13">
        <v>71310</v>
      </c>
      <c r="N31" s="44">
        <v>70962</v>
      </c>
      <c r="O31" s="13">
        <v>59830</v>
      </c>
      <c r="P31" s="44">
        <v>73832</v>
      </c>
      <c r="Q31" s="44">
        <f>19500+65518+94842</f>
        <v>179860</v>
      </c>
      <c r="R31" s="13">
        <f t="shared" si="3"/>
        <v>934058</v>
      </c>
      <c r="S31" s="16"/>
      <c r="T31" s="262"/>
      <c r="U31" s="44">
        <f>19500+655182</f>
        <v>674682</v>
      </c>
    </row>
    <row r="32" spans="3:21">
      <c r="C32" s="129" t="s">
        <v>145</v>
      </c>
      <c r="D32" s="128">
        <f t="shared" si="4"/>
        <v>18410</v>
      </c>
      <c r="E32" s="27">
        <f t="shared" si="5"/>
        <v>1142404.9350000001</v>
      </c>
      <c r="F32" s="13"/>
      <c r="G32" s="13"/>
      <c r="H32" s="13"/>
      <c r="I32" s="13"/>
      <c r="J32" s="13"/>
      <c r="K32" s="13"/>
      <c r="L32" s="13"/>
      <c r="M32" s="13"/>
      <c r="N32" s="44"/>
      <c r="O32" s="41">
        <v>2456</v>
      </c>
      <c r="P32" s="44">
        <v>13231</v>
      </c>
      <c r="Q32" s="44">
        <f>631+2092</f>
        <v>2723</v>
      </c>
      <c r="R32" s="13">
        <f t="shared" si="3"/>
        <v>18410</v>
      </c>
      <c r="S32" s="16"/>
      <c r="T32" s="262"/>
      <c r="U32" s="44">
        <f>631+2092</f>
        <v>2723</v>
      </c>
    </row>
    <row r="33" spans="3:21">
      <c r="C33" s="127" t="s">
        <v>62</v>
      </c>
      <c r="D33" s="128">
        <f t="shared" si="4"/>
        <v>238478</v>
      </c>
      <c r="E33" s="27">
        <f t="shared" si="5"/>
        <v>14798394.573000001</v>
      </c>
      <c r="F33" s="13"/>
      <c r="G33" s="13">
        <v>5269</v>
      </c>
      <c r="H33" s="13">
        <v>15809</v>
      </c>
      <c r="I33" s="13">
        <v>16269</v>
      </c>
      <c r="J33" s="13">
        <v>18027</v>
      </c>
      <c r="K33" s="13">
        <f>325+16377</f>
        <v>16702</v>
      </c>
      <c r="L33" s="44">
        <f>335+16366</f>
        <v>16701</v>
      </c>
      <c r="M33" s="13">
        <v>18498</v>
      </c>
      <c r="N33" s="44">
        <v>19053</v>
      </c>
      <c r="O33" s="13">
        <v>18026</v>
      </c>
      <c r="P33" s="44">
        <v>21106</v>
      </c>
      <c r="Q33" s="44">
        <f>313+13505+59200</f>
        <v>73018</v>
      </c>
      <c r="R33" s="13">
        <f t="shared" si="3"/>
        <v>238478</v>
      </c>
      <c r="T33" s="262"/>
      <c r="U33" s="44">
        <f>313+13505+59200</f>
        <v>73018</v>
      </c>
    </row>
    <row r="34" spans="3:21">
      <c r="C34" s="129" t="s">
        <v>64</v>
      </c>
      <c r="D34" s="128">
        <f t="shared" si="4"/>
        <v>164644</v>
      </c>
      <c r="E34" s="27">
        <f t="shared" si="5"/>
        <v>10216736.454</v>
      </c>
      <c r="F34" s="13"/>
      <c r="G34" s="13">
        <v>9993</v>
      </c>
      <c r="H34" s="13">
        <v>13948</v>
      </c>
      <c r="I34" s="13">
        <v>14589</v>
      </c>
      <c r="J34" s="13">
        <v>13743</v>
      </c>
      <c r="K34" s="13">
        <f>510+13942</f>
        <v>14452</v>
      </c>
      <c r="L34" s="13">
        <f>525+14372</f>
        <v>14897</v>
      </c>
      <c r="M34" s="13">
        <v>15363</v>
      </c>
      <c r="N34" s="44">
        <v>17147</v>
      </c>
      <c r="O34" s="13">
        <v>15566</v>
      </c>
      <c r="P34" s="44">
        <v>18015</v>
      </c>
      <c r="Q34" s="44">
        <f>525+15706+700</f>
        <v>16931</v>
      </c>
      <c r="R34" s="13">
        <f t="shared" si="3"/>
        <v>164644</v>
      </c>
      <c r="T34" s="262"/>
      <c r="U34" s="44">
        <f>525+15706+700</f>
        <v>16931</v>
      </c>
    </row>
    <row r="35" spans="3:21">
      <c r="C35" s="127" t="s">
        <v>45</v>
      </c>
      <c r="D35" s="128">
        <f t="shared" si="4"/>
        <v>281546</v>
      </c>
      <c r="E35" s="27">
        <f t="shared" si="5"/>
        <v>17470914.710999999</v>
      </c>
      <c r="F35" s="13">
        <v>13586</v>
      </c>
      <c r="G35" s="13">
        <v>22117</v>
      </c>
      <c r="H35" s="13">
        <v>23729</v>
      </c>
      <c r="I35" s="13">
        <v>17647</v>
      </c>
      <c r="J35" s="13">
        <v>22268</v>
      </c>
      <c r="K35" s="13">
        <f>378+25378</f>
        <v>25756</v>
      </c>
      <c r="L35" s="13">
        <f>378+25430</f>
        <v>25808</v>
      </c>
      <c r="M35" s="13">
        <v>27221</v>
      </c>
      <c r="N35" s="44">
        <v>24403</v>
      </c>
      <c r="O35" s="13">
        <v>28162</v>
      </c>
      <c r="P35" s="44">
        <v>28678</v>
      </c>
      <c r="Q35" s="44">
        <f>414+19107+52650-50000</f>
        <v>22171</v>
      </c>
      <c r="R35" s="13">
        <f t="shared" si="3"/>
        <v>281546</v>
      </c>
      <c r="T35" s="262"/>
      <c r="U35" s="44">
        <f>414+19107+52650</f>
        <v>72171</v>
      </c>
    </row>
    <row r="36" spans="3:21">
      <c r="C36" s="129" t="s">
        <v>23</v>
      </c>
      <c r="D36" s="128">
        <f t="shared" si="4"/>
        <v>422768</v>
      </c>
      <c r="E36" s="27">
        <f t="shared" si="5"/>
        <v>26234234.088</v>
      </c>
      <c r="F36" s="13">
        <v>14015</v>
      </c>
      <c r="G36" s="13">
        <v>24652</v>
      </c>
      <c r="H36" s="13">
        <v>30535</v>
      </c>
      <c r="I36" s="13">
        <f>28780+1870</f>
        <v>30650</v>
      </c>
      <c r="J36" s="13">
        <v>36654</v>
      </c>
      <c r="K36" s="13">
        <f>2585+337+34628</f>
        <v>37550</v>
      </c>
      <c r="L36" s="13">
        <f>2764+426+32917</f>
        <v>36107</v>
      </c>
      <c r="M36" s="13">
        <v>36635</v>
      </c>
      <c r="N36" s="44">
        <v>37067</v>
      </c>
      <c r="O36" s="13">
        <v>45202</v>
      </c>
      <c r="P36" s="44">
        <v>46023</v>
      </c>
      <c r="Q36" s="44">
        <f>2662+901+40850+153265-150000</f>
        <v>47678</v>
      </c>
      <c r="R36" s="13">
        <f t="shared" si="3"/>
        <v>422768</v>
      </c>
      <c r="T36" s="262"/>
      <c r="U36" s="44">
        <f>2662+901+40850+153265</f>
        <v>197678</v>
      </c>
    </row>
    <row r="37" spans="3:21">
      <c r="C37" s="127" t="s">
        <v>146</v>
      </c>
      <c r="D37" s="128">
        <f t="shared" si="4"/>
        <v>15309</v>
      </c>
      <c r="E37" s="27">
        <f t="shared" si="5"/>
        <v>949977.03150000004</v>
      </c>
      <c r="F37" s="13"/>
      <c r="G37" s="13"/>
      <c r="H37" s="13"/>
      <c r="I37" s="13"/>
      <c r="J37" s="13"/>
      <c r="K37" s="13"/>
      <c r="L37" s="13"/>
      <c r="M37" s="13"/>
      <c r="N37" s="44"/>
      <c r="O37" s="13">
        <v>823</v>
      </c>
      <c r="P37" s="44">
        <v>12119</v>
      </c>
      <c r="Q37" s="44">
        <f>275+2092</f>
        <v>2367</v>
      </c>
      <c r="R37" s="13">
        <f t="shared" si="3"/>
        <v>15309</v>
      </c>
      <c r="T37" s="262"/>
      <c r="U37" s="44">
        <f>275+2092</f>
        <v>2367</v>
      </c>
    </row>
    <row r="38" spans="3:21">
      <c r="C38" s="129" t="s">
        <v>65</v>
      </c>
      <c r="D38" s="128">
        <f t="shared" si="4"/>
        <v>65944</v>
      </c>
      <c r="E38" s="27">
        <f t="shared" si="5"/>
        <v>4092056.0040000002</v>
      </c>
      <c r="F38" s="13"/>
      <c r="G38" s="13">
        <v>5157</v>
      </c>
      <c r="H38" s="13">
        <v>6453</v>
      </c>
      <c r="I38" s="13">
        <v>5368</v>
      </c>
      <c r="J38" s="13">
        <v>5919</v>
      </c>
      <c r="K38" s="13">
        <f>151+5515</f>
        <v>5666</v>
      </c>
      <c r="L38" s="13">
        <f>159+5856</f>
        <v>6015</v>
      </c>
      <c r="M38" s="13">
        <v>6311</v>
      </c>
      <c r="N38" s="44">
        <v>6345</v>
      </c>
      <c r="O38" s="13">
        <v>6047</v>
      </c>
      <c r="P38" s="44">
        <v>6315</v>
      </c>
      <c r="Q38" s="44">
        <f>187+6161</f>
        <v>6348</v>
      </c>
      <c r="R38" s="13">
        <f t="shared" si="3"/>
        <v>65944</v>
      </c>
      <c r="T38" s="262"/>
      <c r="U38" s="44">
        <f>187+6161</f>
        <v>6348</v>
      </c>
    </row>
    <row r="39" spans="3:21">
      <c r="C39" s="127" t="s">
        <v>25</v>
      </c>
      <c r="D39" s="128">
        <f t="shared" si="4"/>
        <v>87670</v>
      </c>
      <c r="E39" s="27">
        <f t="shared" si="5"/>
        <v>5440230.3449999997</v>
      </c>
      <c r="F39" s="13">
        <v>4602</v>
      </c>
      <c r="G39" s="13">
        <v>7125</v>
      </c>
      <c r="H39" s="13">
        <v>8215</v>
      </c>
      <c r="I39" s="13">
        <v>6774</v>
      </c>
      <c r="J39" s="13">
        <v>7507</v>
      </c>
      <c r="K39" s="13">
        <f>210+7289</f>
        <v>7499</v>
      </c>
      <c r="L39" s="13">
        <f>210+7195</f>
        <v>7405</v>
      </c>
      <c r="M39" s="13">
        <v>7769</v>
      </c>
      <c r="N39" s="44">
        <v>7765</v>
      </c>
      <c r="O39" s="13">
        <v>7417</v>
      </c>
      <c r="P39" s="44">
        <v>7793</v>
      </c>
      <c r="Q39" s="44">
        <f>220+7579</f>
        <v>7799</v>
      </c>
      <c r="R39" s="13">
        <f t="shared" ref="R39:R65" si="6">SUM(F39:Q39)</f>
        <v>87670</v>
      </c>
      <c r="T39" s="262"/>
      <c r="U39" s="44">
        <f>220+7579</f>
        <v>7799</v>
      </c>
    </row>
    <row r="40" spans="3:21">
      <c r="C40" s="129" t="s">
        <v>63</v>
      </c>
      <c r="D40" s="128">
        <f t="shared" si="4"/>
        <v>67518</v>
      </c>
      <c r="E40" s="27">
        <f t="shared" si="5"/>
        <v>4189728.213</v>
      </c>
      <c r="F40" s="13"/>
      <c r="G40" s="13">
        <v>5240</v>
      </c>
      <c r="H40" s="13">
        <v>6449</v>
      </c>
      <c r="I40" s="13">
        <v>5438</v>
      </c>
      <c r="J40" s="13">
        <v>6095</v>
      </c>
      <c r="K40" s="13">
        <f>168+5964</f>
        <v>6132</v>
      </c>
      <c r="L40" s="13">
        <f>158+5917</f>
        <v>6075</v>
      </c>
      <c r="M40" s="13">
        <v>6581</v>
      </c>
      <c r="N40" s="44">
        <v>6408</v>
      </c>
      <c r="O40" s="13">
        <v>6142</v>
      </c>
      <c r="P40" s="44">
        <v>6462</v>
      </c>
      <c r="Q40" s="44">
        <f>176+6320</f>
        <v>6496</v>
      </c>
      <c r="R40" s="13">
        <f t="shared" si="6"/>
        <v>67518</v>
      </c>
      <c r="T40" s="262"/>
      <c r="U40" s="44">
        <f>176+6320</f>
        <v>6496</v>
      </c>
    </row>
    <row r="41" spans="3:21">
      <c r="C41" s="127" t="s">
        <v>24</v>
      </c>
      <c r="D41" s="128">
        <f t="shared" si="4"/>
        <v>211186</v>
      </c>
      <c r="E41" s="27">
        <f t="shared" si="5"/>
        <v>13104830.450999999</v>
      </c>
      <c r="F41" s="13">
        <v>8190</v>
      </c>
      <c r="G41" s="13">
        <v>14156</v>
      </c>
      <c r="H41" s="13">
        <v>20516</v>
      </c>
      <c r="I41" s="13">
        <v>14685</v>
      </c>
      <c r="J41" s="13">
        <v>17695</v>
      </c>
      <c r="K41" s="13">
        <f>518+16883</f>
        <v>17401</v>
      </c>
      <c r="L41" s="13">
        <f>576+16934</f>
        <v>17510</v>
      </c>
      <c r="M41" s="13">
        <v>17556</v>
      </c>
      <c r="N41" s="44">
        <v>18953</v>
      </c>
      <c r="O41" s="13">
        <v>18826</v>
      </c>
      <c r="P41" s="44">
        <v>24847</v>
      </c>
      <c r="Q41" s="44">
        <f>842+20709+99300-100000</f>
        <v>20851</v>
      </c>
      <c r="R41" s="13">
        <f t="shared" si="6"/>
        <v>211186</v>
      </c>
      <c r="T41" s="262"/>
      <c r="U41" s="44">
        <f>842+20709+99300</f>
        <v>120851</v>
      </c>
    </row>
    <row r="42" spans="3:21" ht="15.75">
      <c r="C42" s="133" t="s">
        <v>60</v>
      </c>
      <c r="D42" s="128">
        <f t="shared" si="4"/>
        <v>320726</v>
      </c>
      <c r="E42" s="27">
        <f t="shared" si="5"/>
        <v>19902170.840999998</v>
      </c>
      <c r="F42" s="13">
        <v>9496</v>
      </c>
      <c r="G42" s="13">
        <v>18651</v>
      </c>
      <c r="H42" s="13">
        <v>26079</v>
      </c>
      <c r="I42" s="13">
        <v>22983</v>
      </c>
      <c r="J42" s="13">
        <v>27884</v>
      </c>
      <c r="K42" s="13">
        <f>700+28371+500</f>
        <v>29571</v>
      </c>
      <c r="L42" s="13">
        <f>712+30055+300</f>
        <v>31067</v>
      </c>
      <c r="M42" s="13">
        <v>30494</v>
      </c>
      <c r="N42" s="44">
        <v>35949</v>
      </c>
      <c r="O42" s="13">
        <v>35933</v>
      </c>
      <c r="P42" s="44">
        <v>38908</v>
      </c>
      <c r="Q42" s="44">
        <f>710+37611+75390-100000</f>
        <v>13711</v>
      </c>
      <c r="R42" s="13">
        <f t="shared" si="6"/>
        <v>320726</v>
      </c>
      <c r="T42" s="262"/>
      <c r="U42" s="44">
        <f>710+37611+75390</f>
        <v>113711</v>
      </c>
    </row>
    <row r="43" spans="3:21">
      <c r="C43" s="127" t="s">
        <v>26</v>
      </c>
      <c r="D43" s="128">
        <f t="shared" si="4"/>
        <v>325781</v>
      </c>
      <c r="E43" s="27">
        <f t="shared" si="5"/>
        <v>20215851.283500001</v>
      </c>
      <c r="F43" s="13">
        <v>5751</v>
      </c>
      <c r="G43" s="13">
        <v>9117</v>
      </c>
      <c r="H43" s="13">
        <v>11106</v>
      </c>
      <c r="I43" s="13">
        <v>23521</v>
      </c>
      <c r="J43" s="13">
        <v>11752</v>
      </c>
      <c r="K43" s="13">
        <f>1248+27431</f>
        <v>28679</v>
      </c>
      <c r="L43" s="13">
        <f>1152+28203</f>
        <v>29355</v>
      </c>
      <c r="M43" s="13">
        <v>30693</v>
      </c>
      <c r="N43" s="44">
        <v>30414</v>
      </c>
      <c r="O43" s="13">
        <v>31700</v>
      </c>
      <c r="P43" s="44">
        <v>35796</v>
      </c>
      <c r="Q43" s="44">
        <f>1344+74753+1800</f>
        <v>77897</v>
      </c>
      <c r="R43" s="13">
        <f t="shared" si="6"/>
        <v>325781</v>
      </c>
      <c r="T43" s="262"/>
      <c r="U43" s="44">
        <f>1344+74753+1800</f>
        <v>77897</v>
      </c>
    </row>
    <row r="44" spans="3:21">
      <c r="C44" s="129" t="s">
        <v>27</v>
      </c>
      <c r="D44" s="128">
        <f t="shared" si="4"/>
        <v>279548</v>
      </c>
      <c r="E44" s="27">
        <f t="shared" si="5"/>
        <v>17346931.818</v>
      </c>
      <c r="F44" s="13">
        <v>18614</v>
      </c>
      <c r="G44" s="13">
        <v>34978</v>
      </c>
      <c r="H44" s="13">
        <v>40106</v>
      </c>
      <c r="I44" s="13">
        <v>11313</v>
      </c>
      <c r="J44" s="13">
        <v>40641</v>
      </c>
      <c r="K44" s="13">
        <f>391+11470</f>
        <v>11861</v>
      </c>
      <c r="L44" s="13">
        <f>391+11607</f>
        <v>11998</v>
      </c>
      <c r="M44" s="13">
        <v>13034</v>
      </c>
      <c r="N44" s="44">
        <v>13962</v>
      </c>
      <c r="O44" s="13">
        <v>15507</v>
      </c>
      <c r="P44" s="44">
        <v>21149</v>
      </c>
      <c r="Q44" s="44">
        <f>400+16885+29100</f>
        <v>46385</v>
      </c>
      <c r="R44" s="13">
        <f t="shared" si="6"/>
        <v>279548</v>
      </c>
      <c r="T44" s="262"/>
      <c r="U44" s="44">
        <f>400+16885+29100</f>
        <v>46385</v>
      </c>
    </row>
    <row r="45" spans="3:21">
      <c r="C45" s="127" t="s">
        <v>35</v>
      </c>
      <c r="D45" s="128">
        <f t="shared" si="4"/>
        <v>285620</v>
      </c>
      <c r="E45" s="27">
        <f>+D45*62.0535</f>
        <v>17723720.669999998</v>
      </c>
      <c r="F45" s="13">
        <v>13761</v>
      </c>
      <c r="G45" s="13">
        <v>27131</v>
      </c>
      <c r="H45" s="13">
        <v>24986</v>
      </c>
      <c r="I45" s="13">
        <v>15484</v>
      </c>
      <c r="J45" s="13">
        <v>17320</v>
      </c>
      <c r="K45" s="13">
        <f>630+16713</f>
        <v>17343</v>
      </c>
      <c r="L45" s="13">
        <f>641+17369</f>
        <v>18010</v>
      </c>
      <c r="M45" s="13">
        <v>23921</v>
      </c>
      <c r="N45" s="44">
        <v>24943</v>
      </c>
      <c r="O45" s="13">
        <v>26762</v>
      </c>
      <c r="P45" s="44">
        <v>27402</v>
      </c>
      <c r="Q45" s="44">
        <f>390+21047+27120</f>
        <v>48557</v>
      </c>
      <c r="R45" s="13">
        <f t="shared" si="6"/>
        <v>285620</v>
      </c>
      <c r="T45" s="262"/>
      <c r="U45" s="44">
        <f>390+21047+27120</f>
        <v>48557</v>
      </c>
    </row>
    <row r="46" spans="3:21">
      <c r="C46" s="129" t="s">
        <v>44</v>
      </c>
      <c r="D46" s="128">
        <f t="shared" si="4"/>
        <v>219199</v>
      </c>
      <c r="E46" s="27">
        <f t="shared" ref="E46:E55" si="7">+D46*62.0535</f>
        <v>13602065.146500001</v>
      </c>
      <c r="F46" s="13">
        <v>8168</v>
      </c>
      <c r="G46" s="13">
        <v>10857</v>
      </c>
      <c r="H46" s="13">
        <v>11225</v>
      </c>
      <c r="I46" s="13">
        <v>10235</v>
      </c>
      <c r="J46" s="13">
        <v>11541</v>
      </c>
      <c r="K46" s="13">
        <f>350+10779</f>
        <v>11129</v>
      </c>
      <c r="L46" s="13">
        <f>384+12169</f>
        <v>12553</v>
      </c>
      <c r="M46" s="13">
        <v>12864</v>
      </c>
      <c r="N46" s="44">
        <v>13766</v>
      </c>
      <c r="O46" s="13">
        <v>15292</v>
      </c>
      <c r="P46" s="44">
        <v>22295</v>
      </c>
      <c r="Q46" s="44">
        <f>832+14122+64320</f>
        <v>79274</v>
      </c>
      <c r="R46" s="13">
        <f t="shared" si="6"/>
        <v>219199</v>
      </c>
      <c r="T46" s="262"/>
      <c r="U46" s="44">
        <f>832+14122+64320</f>
        <v>79274</v>
      </c>
    </row>
    <row r="47" spans="3:21">
      <c r="C47" s="127" t="s">
        <v>61</v>
      </c>
      <c r="D47" s="128">
        <f t="shared" si="4"/>
        <v>290937</v>
      </c>
      <c r="E47" s="27">
        <f t="shared" si="7"/>
        <v>18053659.129500002</v>
      </c>
      <c r="F47" s="13">
        <v>8543</v>
      </c>
      <c r="G47" s="13">
        <v>13347</v>
      </c>
      <c r="H47" s="13">
        <v>16480</v>
      </c>
      <c r="I47" s="13">
        <v>13841</v>
      </c>
      <c r="J47" s="13">
        <v>22243</v>
      </c>
      <c r="K47" s="13">
        <f>433+23054</f>
        <v>23487</v>
      </c>
      <c r="L47" s="13">
        <f>551+33664</f>
        <v>34215</v>
      </c>
      <c r="M47" s="13">
        <v>26512</v>
      </c>
      <c r="N47" s="44">
        <v>30954</v>
      </c>
      <c r="O47" s="13">
        <v>30512</v>
      </c>
      <c r="P47" s="44">
        <v>37036</v>
      </c>
      <c r="Q47" s="44">
        <f>497+33270</f>
        <v>33767</v>
      </c>
      <c r="R47" s="13">
        <f t="shared" si="6"/>
        <v>290937</v>
      </c>
      <c r="T47" s="262"/>
      <c r="U47" s="44">
        <f>497+33270</f>
        <v>33767</v>
      </c>
    </row>
    <row r="48" spans="3:21">
      <c r="C48" s="129" t="s">
        <v>41</v>
      </c>
      <c r="D48" s="128">
        <f t="shared" si="4"/>
        <v>262736</v>
      </c>
      <c r="E48" s="27">
        <f t="shared" si="7"/>
        <v>16303688.376</v>
      </c>
      <c r="F48" s="13">
        <v>18850</v>
      </c>
      <c r="G48" s="13">
        <v>35195</v>
      </c>
      <c r="H48" s="13">
        <v>42588</v>
      </c>
      <c r="I48" s="13">
        <v>10891</v>
      </c>
      <c r="J48" s="13">
        <v>40806</v>
      </c>
      <c r="K48" s="13">
        <f>680+12059</f>
        <v>12739</v>
      </c>
      <c r="L48" s="13">
        <f>708+11400</f>
        <v>12108</v>
      </c>
      <c r="M48" s="13">
        <v>12192</v>
      </c>
      <c r="N48" s="44">
        <v>15709</v>
      </c>
      <c r="O48" s="13">
        <v>15809</v>
      </c>
      <c r="P48" s="44">
        <v>15435</v>
      </c>
      <c r="Q48" s="44">
        <f>695+11419+18300</f>
        <v>30414</v>
      </c>
      <c r="R48" s="13">
        <f t="shared" si="6"/>
        <v>262736</v>
      </c>
      <c r="T48" s="262"/>
      <c r="U48" s="44">
        <f>695+11419+18300</f>
        <v>30414</v>
      </c>
    </row>
    <row r="49" spans="3:24">
      <c r="C49" s="127" t="s">
        <v>30</v>
      </c>
      <c r="D49" s="128">
        <f t="shared" si="4"/>
        <v>353408</v>
      </c>
      <c r="E49" s="27">
        <f t="shared" si="7"/>
        <v>21930203.328000002</v>
      </c>
      <c r="F49" s="13">
        <v>7968</v>
      </c>
      <c r="G49" s="13">
        <v>15796</v>
      </c>
      <c r="H49" s="13">
        <v>20576</v>
      </c>
      <c r="I49" s="13">
        <v>19048</v>
      </c>
      <c r="J49" s="13">
        <v>21789</v>
      </c>
      <c r="K49" s="13">
        <f>316+21886</f>
        <v>22202</v>
      </c>
      <c r="L49" s="13">
        <f>323+24500</f>
        <v>24823</v>
      </c>
      <c r="M49" s="13">
        <v>31721</v>
      </c>
      <c r="N49" s="44">
        <v>36055</v>
      </c>
      <c r="O49" s="13">
        <v>27617</v>
      </c>
      <c r="P49" s="44">
        <v>46029</v>
      </c>
      <c r="Q49" s="44">
        <f>402+27986+101396-50000</f>
        <v>79784</v>
      </c>
      <c r="R49" s="13">
        <f t="shared" si="6"/>
        <v>353408</v>
      </c>
      <c r="T49" s="262"/>
      <c r="U49" s="44">
        <f>402+27986+101396</f>
        <v>129784</v>
      </c>
    </row>
    <row r="50" spans="3:24">
      <c r="C50" s="129" t="s">
        <v>28</v>
      </c>
      <c r="D50" s="128">
        <f t="shared" si="4"/>
        <v>284593</v>
      </c>
      <c r="E50" s="27">
        <f t="shared" si="7"/>
        <v>17659991.725499999</v>
      </c>
      <c r="F50" s="13">
        <v>8566</v>
      </c>
      <c r="G50" s="13">
        <v>17754</v>
      </c>
      <c r="H50" s="13">
        <v>25762</v>
      </c>
      <c r="I50" s="13">
        <v>22634</v>
      </c>
      <c r="J50" s="13">
        <v>10917</v>
      </c>
      <c r="K50" s="13">
        <f>635+27880</f>
        <v>28515</v>
      </c>
      <c r="L50" s="13">
        <f>595+27045</f>
        <v>27640</v>
      </c>
      <c r="M50" s="13">
        <v>28119</v>
      </c>
      <c r="N50" s="44">
        <v>27605</v>
      </c>
      <c r="O50" s="13">
        <v>27297</v>
      </c>
      <c r="P50" s="44">
        <v>27986</v>
      </c>
      <c r="Q50" s="44">
        <f>576+23019+108203-100000</f>
        <v>31798</v>
      </c>
      <c r="R50" s="13">
        <f t="shared" si="6"/>
        <v>284593</v>
      </c>
      <c r="T50" s="262"/>
      <c r="U50" s="44">
        <f>576+23019+108203</f>
        <v>131798</v>
      </c>
    </row>
    <row r="51" spans="3:24">
      <c r="C51" s="127" t="s">
        <v>34</v>
      </c>
      <c r="D51" s="128">
        <f t="shared" si="4"/>
        <v>269321</v>
      </c>
      <c r="E51" s="27">
        <f t="shared" si="7"/>
        <v>16712310.6735</v>
      </c>
      <c r="F51" s="13">
        <v>8443</v>
      </c>
      <c r="G51" s="13">
        <v>15531</v>
      </c>
      <c r="H51" s="13">
        <v>19599</v>
      </c>
      <c r="I51" s="13">
        <v>18486</v>
      </c>
      <c r="J51" s="13">
        <v>20451</v>
      </c>
      <c r="K51" s="13">
        <f>315+19528</f>
        <v>19843</v>
      </c>
      <c r="L51" s="13">
        <f>315+23194</f>
        <v>23509</v>
      </c>
      <c r="M51" s="13">
        <v>22746</v>
      </c>
      <c r="N51" s="44">
        <v>23813</v>
      </c>
      <c r="O51" s="13">
        <v>22128</v>
      </c>
      <c r="P51" s="44">
        <v>23280</v>
      </c>
      <c r="Q51" s="44">
        <f>360+19422+31710</f>
        <v>51492</v>
      </c>
      <c r="R51" s="13">
        <f t="shared" si="6"/>
        <v>269321</v>
      </c>
      <c r="T51" s="262"/>
      <c r="U51" s="44">
        <f>360+19422+31710</f>
        <v>51492</v>
      </c>
    </row>
    <row r="52" spans="3:24">
      <c r="C52" s="129" t="s">
        <v>29</v>
      </c>
      <c r="D52" s="128">
        <f t="shared" si="4"/>
        <v>216558</v>
      </c>
      <c r="E52" s="27">
        <f t="shared" si="7"/>
        <v>13438181.853</v>
      </c>
      <c r="F52" s="13">
        <v>8544</v>
      </c>
      <c r="G52" s="13">
        <v>15070</v>
      </c>
      <c r="H52" s="13">
        <v>17172</v>
      </c>
      <c r="I52" s="13">
        <v>14505</v>
      </c>
      <c r="J52" s="13">
        <v>16748</v>
      </c>
      <c r="K52" s="13">
        <f>387+14387</f>
        <v>14774</v>
      </c>
      <c r="L52" s="13">
        <f>4040+491+14550</f>
        <v>19081</v>
      </c>
      <c r="M52" s="13">
        <v>18905</v>
      </c>
      <c r="N52" s="44">
        <v>17705</v>
      </c>
      <c r="O52" s="13">
        <v>17460</v>
      </c>
      <c r="P52" s="44">
        <v>22997</v>
      </c>
      <c r="Q52" s="44">
        <f>465+22402+110730-100000</f>
        <v>33597</v>
      </c>
      <c r="R52" s="13">
        <f t="shared" si="6"/>
        <v>216558</v>
      </c>
      <c r="T52" s="262"/>
      <c r="U52" s="44">
        <f>465+22402+110730</f>
        <v>133597</v>
      </c>
    </row>
    <row r="53" spans="3:24">
      <c r="C53" s="127" t="s">
        <v>38</v>
      </c>
      <c r="D53" s="128">
        <f t="shared" si="4"/>
        <v>435077</v>
      </c>
      <c r="E53" s="27">
        <f t="shared" si="7"/>
        <v>26998050.6195</v>
      </c>
      <c r="F53" s="13">
        <v>16303</v>
      </c>
      <c r="G53" s="13">
        <v>30849</v>
      </c>
      <c r="H53" s="13">
        <v>33653</v>
      </c>
      <c r="I53" s="13">
        <v>31139</v>
      </c>
      <c r="J53" s="13">
        <v>31029</v>
      </c>
      <c r="K53" s="13">
        <f>646+40244</f>
        <v>40890</v>
      </c>
      <c r="L53" s="13">
        <f>675+43201</f>
        <v>43876</v>
      </c>
      <c r="M53" s="13">
        <v>47039</v>
      </c>
      <c r="N53" s="44">
        <v>43895</v>
      </c>
      <c r="O53" s="13">
        <v>40780</v>
      </c>
      <c r="P53" s="44">
        <v>46420</v>
      </c>
      <c r="Q53" s="44">
        <f>566+45748+82890-100000</f>
        <v>29204</v>
      </c>
      <c r="R53" s="13">
        <f t="shared" si="6"/>
        <v>435077</v>
      </c>
      <c r="T53" s="262"/>
      <c r="U53" s="44">
        <f>566+45748+82890</f>
        <v>129204</v>
      </c>
    </row>
    <row r="54" spans="3:24">
      <c r="C54" s="129" t="s">
        <v>40</v>
      </c>
      <c r="D54" s="128">
        <f t="shared" si="4"/>
        <v>339686</v>
      </c>
      <c r="E54" s="27">
        <f t="shared" si="7"/>
        <v>21078705.201000001</v>
      </c>
      <c r="F54" s="13">
        <v>5454</v>
      </c>
      <c r="G54" s="13">
        <v>12866</v>
      </c>
      <c r="H54" s="13">
        <v>12006</v>
      </c>
      <c r="I54" s="13">
        <v>15525</v>
      </c>
      <c r="J54" s="13">
        <v>24156</v>
      </c>
      <c r="K54" s="13">
        <f>672+27758</f>
        <v>28430</v>
      </c>
      <c r="L54" s="13">
        <f>672+29969</f>
        <v>30641</v>
      </c>
      <c r="M54" s="13">
        <v>36290</v>
      </c>
      <c r="N54" s="44">
        <v>37335</v>
      </c>
      <c r="O54" s="13">
        <v>35163</v>
      </c>
      <c r="P54" s="44">
        <v>49349</v>
      </c>
      <c r="Q54" s="44">
        <f>704+43967+7800</f>
        <v>52471</v>
      </c>
      <c r="R54" s="13">
        <f t="shared" si="6"/>
        <v>339686</v>
      </c>
      <c r="T54" s="262"/>
      <c r="U54" s="44">
        <f>704+43967+7800</f>
        <v>52471</v>
      </c>
    </row>
    <row r="55" spans="3:24">
      <c r="C55" s="127" t="s">
        <v>143</v>
      </c>
      <c r="D55" s="128">
        <f t="shared" si="4"/>
        <v>72483</v>
      </c>
      <c r="E55" s="27">
        <f t="shared" si="7"/>
        <v>4497823.8404999999</v>
      </c>
      <c r="F55" s="13"/>
      <c r="G55" s="13"/>
      <c r="H55" s="13"/>
      <c r="I55" s="13"/>
      <c r="J55" s="13"/>
      <c r="K55" s="13"/>
      <c r="L55" s="13"/>
      <c r="M55" s="13"/>
      <c r="N55" s="44"/>
      <c r="O55" s="13">
        <v>16461</v>
      </c>
      <c r="P55" s="44">
        <v>27224</v>
      </c>
      <c r="Q55" s="44">
        <f>360+28678+74760-75000</f>
        <v>28798</v>
      </c>
      <c r="R55" s="13">
        <f t="shared" si="6"/>
        <v>72483</v>
      </c>
      <c r="T55" s="262"/>
      <c r="U55" s="44">
        <f>360+28678+74760</f>
        <v>103798</v>
      </c>
    </row>
    <row r="56" spans="3:24">
      <c r="C56" s="129" t="s">
        <v>31</v>
      </c>
      <c r="D56" s="128">
        <f t="shared" si="4"/>
        <v>344281</v>
      </c>
      <c r="E56" s="27">
        <f>+D56*62.0534</f>
        <v>21363806.6054</v>
      </c>
      <c r="F56" s="13">
        <v>11908</v>
      </c>
      <c r="G56" s="13">
        <v>21469</v>
      </c>
      <c r="H56" s="13">
        <v>28581</v>
      </c>
      <c r="I56" s="13">
        <v>22764</v>
      </c>
      <c r="J56" s="13">
        <v>31226</v>
      </c>
      <c r="K56" s="13">
        <f>527+26895</f>
        <v>27422</v>
      </c>
      <c r="L56" s="13">
        <f>532+25947</f>
        <v>26479</v>
      </c>
      <c r="M56" s="13">
        <v>32111</v>
      </c>
      <c r="N56" s="44">
        <v>28847</v>
      </c>
      <c r="O56" s="13">
        <v>28271</v>
      </c>
      <c r="P56" s="44">
        <v>35159</v>
      </c>
      <c r="Q56" s="44">
        <f>625+149419-100000</f>
        <v>50044</v>
      </c>
      <c r="R56" s="13">
        <f t="shared" si="6"/>
        <v>344281</v>
      </c>
      <c r="T56" s="262"/>
      <c r="U56" s="44">
        <f>625+149419</f>
        <v>150044</v>
      </c>
    </row>
    <row r="57" spans="3:24">
      <c r="C57" s="127" t="s">
        <v>32</v>
      </c>
      <c r="D57" s="128">
        <f t="shared" si="4"/>
        <v>233125</v>
      </c>
      <c r="E57" s="27">
        <f>+D57*62.0535</f>
        <v>14466222.1875</v>
      </c>
      <c r="F57" s="13">
        <v>9656</v>
      </c>
      <c r="G57" s="13">
        <v>16702</v>
      </c>
      <c r="H57" s="13">
        <v>20078</v>
      </c>
      <c r="I57" s="13">
        <v>15955</v>
      </c>
      <c r="J57" s="13">
        <v>18739</v>
      </c>
      <c r="K57" s="13">
        <f>714+17768</f>
        <v>18482</v>
      </c>
      <c r="L57" s="13">
        <f>714+17509</f>
        <v>18223</v>
      </c>
      <c r="M57" s="13">
        <v>19468</v>
      </c>
      <c r="N57" s="44">
        <v>18703</v>
      </c>
      <c r="O57" s="13">
        <v>18029</v>
      </c>
      <c r="P57" s="44">
        <v>18869</v>
      </c>
      <c r="Q57" s="44">
        <f>748+18853+20620</f>
        <v>40221</v>
      </c>
      <c r="R57" s="13">
        <f t="shared" si="6"/>
        <v>233125</v>
      </c>
      <c r="T57" s="262"/>
      <c r="U57" s="44">
        <f>748+18853+20620</f>
        <v>40221</v>
      </c>
    </row>
    <row r="58" spans="3:24">
      <c r="C58" s="134" t="s">
        <v>33</v>
      </c>
      <c r="D58" s="128">
        <f t="shared" si="4"/>
        <v>292929</v>
      </c>
      <c r="E58" s="27">
        <f t="shared" ref="E58:E65" si="8">+D58*62.0534</f>
        <v>18177240.408600003</v>
      </c>
      <c r="F58" s="13">
        <v>5055</v>
      </c>
      <c r="G58" s="13">
        <v>9345</v>
      </c>
      <c r="H58" s="13">
        <v>10787</v>
      </c>
      <c r="I58" s="13">
        <v>35905</v>
      </c>
      <c r="J58" s="13">
        <v>9931</v>
      </c>
      <c r="K58" s="13">
        <f>531+39215</f>
        <v>39746</v>
      </c>
      <c r="L58" s="13">
        <f>516+35195</f>
        <v>35711</v>
      </c>
      <c r="M58" s="13">
        <v>37102</v>
      </c>
      <c r="N58" s="44">
        <v>33436</v>
      </c>
      <c r="O58" s="13">
        <v>28204</v>
      </c>
      <c r="P58" s="44">
        <v>36106</v>
      </c>
      <c r="Q58" s="44">
        <f>572+35332+75697-100000</f>
        <v>11601</v>
      </c>
      <c r="R58" s="13">
        <f t="shared" si="6"/>
        <v>292929</v>
      </c>
      <c r="T58" s="262"/>
      <c r="U58" s="44">
        <f>572+35332+75697</f>
        <v>111601</v>
      </c>
    </row>
    <row r="59" spans="3:24">
      <c r="C59" s="127" t="s">
        <v>148</v>
      </c>
      <c r="D59" s="128">
        <f t="shared" si="4"/>
        <v>224652</v>
      </c>
      <c r="E59" s="27">
        <f t="shared" si="8"/>
        <v>13940420.416800002</v>
      </c>
      <c r="F59" s="13">
        <v>7393</v>
      </c>
      <c r="G59" s="13">
        <v>12709</v>
      </c>
      <c r="H59" s="13">
        <v>16494</v>
      </c>
      <c r="I59" s="13">
        <f>14520+500</f>
        <v>15020</v>
      </c>
      <c r="J59" s="13">
        <v>18138</v>
      </c>
      <c r="K59" s="13">
        <f>420+420+17500</f>
        <v>18340</v>
      </c>
      <c r="L59" s="13">
        <f>120+420+17538</f>
        <v>18078</v>
      </c>
      <c r="M59" s="13">
        <v>19756</v>
      </c>
      <c r="N59" s="44">
        <v>20430</v>
      </c>
      <c r="O59" s="13">
        <v>20785</v>
      </c>
      <c r="P59" s="44">
        <v>25646</v>
      </c>
      <c r="Q59" s="44">
        <f>540+25053+6270</f>
        <v>31863</v>
      </c>
      <c r="R59" s="13">
        <f t="shared" si="6"/>
        <v>224652</v>
      </c>
      <c r="T59" s="262"/>
      <c r="U59" s="44">
        <f>540+25053+6270</f>
        <v>31863</v>
      </c>
    </row>
    <row r="60" spans="3:24">
      <c r="C60" s="129" t="s">
        <v>39</v>
      </c>
      <c r="D60" s="128">
        <f t="shared" si="4"/>
        <v>247356</v>
      </c>
      <c r="E60" s="27">
        <f t="shared" si="8"/>
        <v>15349280.810400002</v>
      </c>
      <c r="F60" s="13">
        <v>7852</v>
      </c>
      <c r="G60" s="13">
        <v>12491</v>
      </c>
      <c r="H60" s="13">
        <v>15689</v>
      </c>
      <c r="I60" s="13">
        <v>14832</v>
      </c>
      <c r="J60" s="13">
        <v>17660</v>
      </c>
      <c r="K60" s="13">
        <f>420+17585</f>
        <v>18005</v>
      </c>
      <c r="L60" s="13">
        <f>420+19973</f>
        <v>20393</v>
      </c>
      <c r="M60" s="13">
        <v>24074</v>
      </c>
      <c r="N60" s="44">
        <v>26844</v>
      </c>
      <c r="O60" s="13">
        <v>25790</v>
      </c>
      <c r="P60" s="44">
        <v>31496</v>
      </c>
      <c r="Q60" s="44">
        <f>460+29570+52200-50000</f>
        <v>32230</v>
      </c>
      <c r="R60" s="13">
        <f t="shared" si="6"/>
        <v>247356</v>
      </c>
      <c r="T60" s="262"/>
      <c r="U60" s="44">
        <f>460+29570+52200</f>
        <v>82230</v>
      </c>
    </row>
    <row r="61" spans="3:24">
      <c r="C61" s="127" t="s">
        <v>36</v>
      </c>
      <c r="D61" s="128">
        <f t="shared" si="4"/>
        <v>178756</v>
      </c>
      <c r="E61" s="27">
        <f t="shared" si="8"/>
        <v>11092417.570400001</v>
      </c>
      <c r="F61" s="13">
        <v>7635</v>
      </c>
      <c r="G61" s="13">
        <v>11989</v>
      </c>
      <c r="H61" s="13">
        <v>13305</v>
      </c>
      <c r="I61" s="13">
        <v>8773</v>
      </c>
      <c r="J61" s="13">
        <v>18104</v>
      </c>
      <c r="K61" s="13">
        <f>558+7500</f>
        <v>8058</v>
      </c>
      <c r="L61" s="13">
        <f>655+8498</f>
        <v>9153</v>
      </c>
      <c r="M61" s="13">
        <v>12105</v>
      </c>
      <c r="N61" s="44">
        <v>13895</v>
      </c>
      <c r="O61" s="13">
        <v>12468</v>
      </c>
      <c r="P61" s="44">
        <v>18568</v>
      </c>
      <c r="Q61" s="44">
        <f>782+300+11581+32040</f>
        <v>44703</v>
      </c>
      <c r="R61" s="13">
        <f t="shared" si="6"/>
        <v>178756</v>
      </c>
      <c r="T61" s="262"/>
      <c r="U61" s="44">
        <f>782+300+11581+32040</f>
        <v>44703</v>
      </c>
    </row>
    <row r="62" spans="3:24">
      <c r="C62" s="129" t="s">
        <v>74</v>
      </c>
      <c r="D62" s="128">
        <f t="shared" si="4"/>
        <v>206627</v>
      </c>
      <c r="E62" s="27">
        <f t="shared" si="8"/>
        <v>12821907.881800001</v>
      </c>
      <c r="F62" s="13">
        <v>7675</v>
      </c>
      <c r="G62" s="13">
        <v>13918</v>
      </c>
      <c r="H62" s="13">
        <v>14750</v>
      </c>
      <c r="I62" s="13">
        <v>12395</v>
      </c>
      <c r="J62" s="13">
        <v>13765</v>
      </c>
      <c r="K62" s="13">
        <f>184+14020</f>
        <v>14204</v>
      </c>
      <c r="L62" s="13">
        <f>170+16469</f>
        <v>16639</v>
      </c>
      <c r="M62" s="13">
        <v>15620</v>
      </c>
      <c r="N62" s="44">
        <v>20217</v>
      </c>
      <c r="O62" s="13">
        <v>20755</v>
      </c>
      <c r="P62" s="44">
        <v>29021</v>
      </c>
      <c r="Q62" s="44">
        <f>399+27269</f>
        <v>27668</v>
      </c>
      <c r="R62" s="13">
        <f t="shared" si="6"/>
        <v>206627</v>
      </c>
      <c r="T62" s="262"/>
      <c r="U62" s="44">
        <f>399+27269+100404</f>
        <v>128072</v>
      </c>
    </row>
    <row r="63" spans="3:24">
      <c r="C63" s="127" t="s">
        <v>37</v>
      </c>
      <c r="D63" s="128">
        <f t="shared" si="4"/>
        <v>364205</v>
      </c>
      <c r="E63" s="27">
        <f t="shared" si="8"/>
        <v>22600158.547000002</v>
      </c>
      <c r="F63" s="13">
        <v>11719</v>
      </c>
      <c r="G63" s="13">
        <v>21517</v>
      </c>
      <c r="H63" s="13">
        <v>25461</v>
      </c>
      <c r="I63" s="13">
        <v>24727</v>
      </c>
      <c r="J63" s="13">
        <v>22472</v>
      </c>
      <c r="K63" s="13">
        <f>693+24543</f>
        <v>25236</v>
      </c>
      <c r="L63" s="13">
        <f>759+25505</f>
        <v>26264</v>
      </c>
      <c r="M63" s="13">
        <v>28854</v>
      </c>
      <c r="N63" s="44">
        <v>32454</v>
      </c>
      <c r="O63" s="13">
        <v>31071</v>
      </c>
      <c r="P63" s="44">
        <v>40955</v>
      </c>
      <c r="Q63" s="44">
        <f>792+43283+29400</f>
        <v>73475</v>
      </c>
      <c r="R63" s="13">
        <f t="shared" si="6"/>
        <v>364205</v>
      </c>
      <c r="T63" s="262"/>
      <c r="U63" s="44">
        <f>792+43283+29400</f>
        <v>73475</v>
      </c>
      <c r="V63" s="27"/>
    </row>
    <row r="64" spans="3:24">
      <c r="C64" s="129" t="s">
        <v>142</v>
      </c>
      <c r="D64" s="128">
        <f t="shared" si="4"/>
        <v>318051</v>
      </c>
      <c r="E64" s="27">
        <f t="shared" si="8"/>
        <v>19736145.9234</v>
      </c>
      <c r="F64" s="13">
        <v>11639</v>
      </c>
      <c r="G64" s="13">
        <v>18409</v>
      </c>
      <c r="H64" s="13">
        <v>23880</v>
      </c>
      <c r="I64" s="13">
        <v>19506</v>
      </c>
      <c r="J64" s="13">
        <v>22751</v>
      </c>
      <c r="K64" s="13">
        <f>609+20727+1835</f>
        <v>23171</v>
      </c>
      <c r="L64" s="13">
        <f>604+22388+720</f>
        <v>23712</v>
      </c>
      <c r="M64" s="13">
        <v>24002</v>
      </c>
      <c r="N64" s="44">
        <v>25030</v>
      </c>
      <c r="O64" s="13">
        <v>24475</v>
      </c>
      <c r="P64" s="44">
        <v>29621</v>
      </c>
      <c r="Q64" s="44">
        <f>146855-75000</f>
        <v>71855</v>
      </c>
      <c r="R64" s="13">
        <f t="shared" si="6"/>
        <v>318051</v>
      </c>
      <c r="T64" s="262"/>
      <c r="U64" s="44">
        <f>601+33154+113100</f>
        <v>146855</v>
      </c>
      <c r="V64" s="16"/>
      <c r="W64" s="16"/>
      <c r="X64">
        <v>29324</v>
      </c>
    </row>
    <row r="65" spans="2:26">
      <c r="C65" s="127" t="s">
        <v>43</v>
      </c>
      <c r="D65" s="128">
        <f t="shared" si="4"/>
        <v>300910</v>
      </c>
      <c r="E65" s="27">
        <f t="shared" si="8"/>
        <v>18672488.594000001</v>
      </c>
      <c r="F65" s="13">
        <v>9109</v>
      </c>
      <c r="G65" s="13">
        <v>14724</v>
      </c>
      <c r="H65" s="13">
        <v>22426</v>
      </c>
      <c r="I65" s="13">
        <v>26568</v>
      </c>
      <c r="J65" s="13">
        <v>25111</v>
      </c>
      <c r="K65" s="13">
        <f>1040+33164</f>
        <v>34204</v>
      </c>
      <c r="L65" s="13">
        <f>920+29604</f>
        <v>30524</v>
      </c>
      <c r="M65" s="13">
        <v>29931</v>
      </c>
      <c r="N65" s="44">
        <v>29692</v>
      </c>
      <c r="O65" s="13">
        <v>27597</v>
      </c>
      <c r="P65" s="44">
        <v>29978</v>
      </c>
      <c r="Q65" s="44">
        <f>1040+26656+43350-50000</f>
        <v>21046</v>
      </c>
      <c r="R65" s="13">
        <f t="shared" si="6"/>
        <v>300910</v>
      </c>
      <c r="T65" s="262"/>
      <c r="U65" s="44">
        <f>1040+26656+43350</f>
        <v>71046</v>
      </c>
    </row>
    <row r="66" spans="2:26" ht="15.75" customHeight="1">
      <c r="C66" s="134" t="s">
        <v>46</v>
      </c>
      <c r="D66" s="130">
        <f>SUM(D7:D65)</f>
        <v>23526952</v>
      </c>
      <c r="E66" s="27">
        <f>SUM(E7:E65)</f>
        <v>1459929468.1553001</v>
      </c>
      <c r="F66" s="13"/>
      <c r="G66" s="13"/>
      <c r="H66" s="13"/>
      <c r="I66" s="13"/>
      <c r="J66" s="13"/>
      <c r="K66" s="13"/>
      <c r="L66" s="13"/>
      <c r="M66" s="13"/>
      <c r="N66" s="14"/>
      <c r="O66" s="14"/>
      <c r="P66" s="14"/>
      <c r="Q66" s="14"/>
      <c r="R66" s="13"/>
      <c r="T66" s="14"/>
      <c r="U66" s="14"/>
      <c r="W66" s="27"/>
      <c r="X66" s="25">
        <f>+W66-W67</f>
        <v>0</v>
      </c>
    </row>
    <row r="67" spans="2:26" ht="15.75" thickBot="1">
      <c r="C67" s="135" t="s">
        <v>47</v>
      </c>
      <c r="D67" s="136">
        <f>+D5+D66</f>
        <v>26695684</v>
      </c>
      <c r="F67" s="45">
        <f t="shared" ref="F67:O67" si="9">SUM(F7:F66)</f>
        <v>659664</v>
      </c>
      <c r="G67" s="45">
        <f t="shared" si="9"/>
        <v>1324987</v>
      </c>
      <c r="H67" s="45">
        <f t="shared" si="9"/>
        <v>1688410</v>
      </c>
      <c r="I67" s="45">
        <f t="shared" si="9"/>
        <v>1501945</v>
      </c>
      <c r="J67" s="45">
        <f t="shared" si="9"/>
        <v>1724349</v>
      </c>
      <c r="K67" s="45">
        <f t="shared" si="9"/>
        <v>1764500</v>
      </c>
      <c r="L67" s="45">
        <f t="shared" si="9"/>
        <v>1878639</v>
      </c>
      <c r="M67" s="45">
        <f t="shared" si="9"/>
        <v>1965023</v>
      </c>
      <c r="N67" s="137">
        <f t="shared" si="9"/>
        <v>2293817</v>
      </c>
      <c r="O67" s="137">
        <f t="shared" si="9"/>
        <v>2299767</v>
      </c>
      <c r="P67" s="137">
        <f>SUM(P7:P66)</f>
        <v>2630261</v>
      </c>
      <c r="Q67" s="137">
        <f>SUM(Q7:Q66)</f>
        <v>3795590</v>
      </c>
      <c r="R67" s="45">
        <f>SUM(F67:Q67)</f>
        <v>23526952</v>
      </c>
      <c r="S67" s="27"/>
      <c r="T67" s="137">
        <f>SUM(T7:T66)</f>
        <v>0</v>
      </c>
      <c r="U67" s="137">
        <f>SUM(U7:U66)</f>
        <v>11839610</v>
      </c>
      <c r="V67" s="25"/>
      <c r="W67" s="25"/>
    </row>
    <row r="68" spans="2:26">
      <c r="C68" s="138"/>
      <c r="D68" s="139">
        <f>SUM(D7:D65)</f>
        <v>23526952</v>
      </c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T68" s="47"/>
      <c r="U68" s="47"/>
      <c r="V68" s="25"/>
      <c r="W68" s="25"/>
    </row>
    <row r="69" spans="2:26" ht="15.75" thickBot="1">
      <c r="D69" s="140"/>
      <c r="F69" s="141">
        <f>F5+F67</f>
        <v>827275</v>
      </c>
      <c r="G69" s="141">
        <f>G5+G67</f>
        <v>1529834</v>
      </c>
      <c r="H69" s="141">
        <f>H5+H67</f>
        <v>1931229</v>
      </c>
      <c r="I69" s="141">
        <f>I5+I67</f>
        <v>1786113</v>
      </c>
      <c r="J69" s="141">
        <f>J67+J6</f>
        <v>1958291</v>
      </c>
      <c r="K69" s="141">
        <f>K67+K6</f>
        <v>2001550</v>
      </c>
      <c r="L69" s="142">
        <f t="shared" ref="L69:Q69" si="10">+L6+L67</f>
        <v>2130898</v>
      </c>
      <c r="M69" s="142">
        <f t="shared" si="10"/>
        <v>2223678</v>
      </c>
      <c r="N69" s="141">
        <f t="shared" si="10"/>
        <v>2656525</v>
      </c>
      <c r="O69" s="141">
        <f t="shared" si="10"/>
        <v>2600588</v>
      </c>
      <c r="P69" s="141">
        <f t="shared" si="10"/>
        <v>2901501</v>
      </c>
      <c r="Q69" s="141">
        <f t="shared" si="10"/>
        <v>4148202</v>
      </c>
      <c r="R69" s="15">
        <f>+R6+R67</f>
        <v>26695684</v>
      </c>
      <c r="S69" s="27"/>
      <c r="T69" s="15"/>
      <c r="U69" s="141" t="e">
        <f t="shared" ref="U69" si="11">+U6+U67</f>
        <v>#REF!</v>
      </c>
    </row>
    <row r="70" spans="2:26" ht="17.25" customHeight="1">
      <c r="D70" s="113"/>
      <c r="E70" t="s">
        <v>59</v>
      </c>
      <c r="F70" s="143">
        <f t="shared" ref="F70:J70" si="12">+F71/F69</f>
        <v>74.76578141488622</v>
      </c>
      <c r="G70" s="143">
        <f t="shared" si="12"/>
        <v>55.619525942030307</v>
      </c>
      <c r="H70" s="143">
        <f t="shared" si="12"/>
        <v>53.18843134604959</v>
      </c>
      <c r="I70" s="143">
        <f t="shared" si="12"/>
        <v>51.106591777787855</v>
      </c>
      <c r="J70" s="143">
        <f t="shared" si="12"/>
        <v>49.62163412894202</v>
      </c>
      <c r="K70" s="143">
        <f>+K71/K69</f>
        <v>50.595982113861758</v>
      </c>
      <c r="L70" s="143">
        <f>+L71/L69</f>
        <v>50.650593599505932</v>
      </c>
      <c r="M70" s="143">
        <v>50.18</v>
      </c>
      <c r="N70" s="143">
        <f>+N71/N69</f>
        <v>69.673251710411151</v>
      </c>
      <c r="O70" s="144">
        <f>+O71/O69</f>
        <v>77.933089016791584</v>
      </c>
      <c r="P70" s="113">
        <f>+P71/P69</f>
        <v>78.793414167356829</v>
      </c>
      <c r="Q70" s="223">
        <v>77.459999999999994</v>
      </c>
      <c r="R70" s="223">
        <f>SUM(F70:Q70)</f>
        <v>739.58829521762323</v>
      </c>
      <c r="T70" s="223"/>
      <c r="U70" s="223">
        <v>77.459999999999994</v>
      </c>
      <c r="X70" s="145">
        <v>1641939566.9000001</v>
      </c>
      <c r="Y70" s="146"/>
      <c r="Z70" s="147" t="s">
        <v>150</v>
      </c>
    </row>
    <row r="71" spans="2:26" ht="15.75">
      <c r="D71" s="140"/>
      <c r="F71" s="150">
        <v>61851861.82</v>
      </c>
      <c r="G71" s="22">
        <v>85088641.849999994</v>
      </c>
      <c r="H71" s="150">
        <v>102719041.08</v>
      </c>
      <c r="I71" s="150">
        <v>91282147.959999993</v>
      </c>
      <c r="J71" s="150">
        <v>97173599.519999996</v>
      </c>
      <c r="K71" s="150">
        <v>101270388</v>
      </c>
      <c r="L71" s="150">
        <v>107931248.59999999</v>
      </c>
      <c r="M71" s="151">
        <v>111715221.66</v>
      </c>
      <c r="N71" s="151">
        <v>185088735</v>
      </c>
      <c r="O71" s="151">
        <v>202671856.09999999</v>
      </c>
      <c r="P71" s="151">
        <v>228619170</v>
      </c>
      <c r="Q71" s="151">
        <f>+Q69*Q70</f>
        <v>321319726.91999996</v>
      </c>
      <c r="R71" s="263">
        <f>+F71+G71+H71+I71+J71+K71+L71+M71+N71+O71+P71+Q71</f>
        <v>1696731638.5099998</v>
      </c>
      <c r="T71" s="151"/>
      <c r="U71" s="151" t="e">
        <f>+U69*U70</f>
        <v>#REF!</v>
      </c>
      <c r="X71" s="152">
        <v>937174286.47000003</v>
      </c>
      <c r="Y71" s="153"/>
      <c r="Z71" s="154" t="s">
        <v>151</v>
      </c>
    </row>
    <row r="72" spans="2:26">
      <c r="F72">
        <v>74.77</v>
      </c>
      <c r="G72">
        <v>55.62</v>
      </c>
      <c r="H72">
        <v>53.19</v>
      </c>
      <c r="I72">
        <v>51.11</v>
      </c>
      <c r="J72">
        <v>49.62</v>
      </c>
      <c r="K72">
        <v>50.6</v>
      </c>
      <c r="L72">
        <v>50.65</v>
      </c>
      <c r="M72">
        <v>50.18</v>
      </c>
      <c r="N72">
        <v>69.67</v>
      </c>
      <c r="O72">
        <v>77.933089019999997</v>
      </c>
      <c r="P72">
        <v>78.790000000000006</v>
      </c>
      <c r="Q72">
        <v>77.459999999999994</v>
      </c>
      <c r="X72" s="155">
        <f>350000*400</f>
        <v>140000000</v>
      </c>
      <c r="Y72" s="156"/>
      <c r="Z72" s="154" t="s">
        <v>152</v>
      </c>
    </row>
    <row r="73" spans="2:26" ht="15.75" thickBot="1">
      <c r="D73" s="140">
        <v>26195349</v>
      </c>
      <c r="E73" s="222" t="s">
        <v>72</v>
      </c>
      <c r="F73" s="27">
        <f>2111410+9810483.66</f>
        <v>11921893.66</v>
      </c>
      <c r="G73" s="27">
        <f>2679395+8673720.3</f>
        <v>11353115.300000001</v>
      </c>
      <c r="H73" s="27">
        <f>2764260+10198905.48</f>
        <v>12963165.48</v>
      </c>
      <c r="I73" s="27">
        <f>2194210+12383606.81</f>
        <v>14577816.810000001</v>
      </c>
      <c r="J73" s="23">
        <f>2764260+9105794.49</f>
        <v>11870054.49</v>
      </c>
      <c r="K73" s="24">
        <f>2624395+9538743</f>
        <v>12163138</v>
      </c>
      <c r="L73" s="24">
        <f>2712855+10234405.76</f>
        <v>12947260.76</v>
      </c>
      <c r="M73" s="24">
        <f>2647135+10463232.52</f>
        <v>13110367.52</v>
      </c>
      <c r="N73" s="27">
        <f>3259535+21262010</f>
        <v>24521545</v>
      </c>
      <c r="O73" s="24">
        <f>4537270+17326904.56</f>
        <v>21864174.559999999</v>
      </c>
      <c r="P73" s="27">
        <f>4243980+15314832</f>
        <v>19558812</v>
      </c>
      <c r="Q73" s="264">
        <v>27321722.25</v>
      </c>
      <c r="R73" s="23">
        <f>SUM(F73:Q73)</f>
        <v>194173065.83000001</v>
      </c>
      <c r="S73" s="16"/>
      <c r="T73" s="24"/>
      <c r="U73" s="264"/>
      <c r="V73" s="16"/>
      <c r="X73" s="157">
        <f>SUM(X70:X72)</f>
        <v>2719113853.3699999</v>
      </c>
      <c r="Y73" s="158"/>
      <c r="Z73" s="159"/>
    </row>
    <row r="74" spans="2:26">
      <c r="E74" t="s">
        <v>149</v>
      </c>
      <c r="F74" s="27">
        <v>49929968.159999996</v>
      </c>
      <c r="G74" s="27">
        <v>73735526.549999997</v>
      </c>
      <c r="H74" s="27">
        <v>89755875.599999994</v>
      </c>
      <c r="I74" s="160">
        <v>76704331.150000006</v>
      </c>
      <c r="J74" s="27">
        <v>85303545.030000001</v>
      </c>
      <c r="K74" s="248">
        <v>89107250</v>
      </c>
      <c r="L74" s="24">
        <v>94983987.840000004</v>
      </c>
      <c r="M74" s="24">
        <v>98604854.140000001</v>
      </c>
      <c r="N74" s="27">
        <v>160567190</v>
      </c>
      <c r="O74" s="161">
        <v>180807681.53999999</v>
      </c>
      <c r="P74" s="24">
        <v>209060358</v>
      </c>
      <c r="Q74" s="265">
        <f>+Q67*77.46</f>
        <v>294006401.39999998</v>
      </c>
      <c r="R74" s="23">
        <f t="shared" ref="R74:R75" si="13">SUM(F74:Q74)</f>
        <v>1502566969.4099998</v>
      </c>
      <c r="W74" s="23"/>
    </row>
    <row r="75" spans="2:26">
      <c r="E75" t="s">
        <v>73</v>
      </c>
      <c r="F75" s="249">
        <f t="shared" ref="F75:P75" si="14">SUM(F73:F74)</f>
        <v>61851861.819999993</v>
      </c>
      <c r="G75" s="250">
        <f t="shared" si="14"/>
        <v>85088641.849999994</v>
      </c>
      <c r="H75" s="250">
        <f t="shared" si="14"/>
        <v>102719041.08</v>
      </c>
      <c r="I75" s="251">
        <f t="shared" si="14"/>
        <v>91282147.960000008</v>
      </c>
      <c r="J75" s="250">
        <f t="shared" si="14"/>
        <v>97173599.519999996</v>
      </c>
      <c r="K75" s="250">
        <f t="shared" si="14"/>
        <v>101270388</v>
      </c>
      <c r="L75" s="252">
        <f t="shared" si="14"/>
        <v>107931248.60000001</v>
      </c>
      <c r="M75" s="252">
        <f t="shared" si="14"/>
        <v>111715221.66</v>
      </c>
      <c r="N75" s="249">
        <f t="shared" si="14"/>
        <v>185088735</v>
      </c>
      <c r="O75" s="252">
        <f t="shared" si="14"/>
        <v>202671856.09999999</v>
      </c>
      <c r="P75" s="250">
        <f t="shared" si="14"/>
        <v>228619170</v>
      </c>
      <c r="Q75" s="266">
        <f>+Q73+Q74</f>
        <v>321328123.64999998</v>
      </c>
      <c r="R75" s="250">
        <f t="shared" si="13"/>
        <v>1696740035.2399998</v>
      </c>
      <c r="U75" s="225"/>
      <c r="V75" s="265"/>
      <c r="W75" s="85"/>
      <c r="X75" s="24"/>
    </row>
    <row r="76" spans="2:26">
      <c r="I76" s="164"/>
      <c r="K76" s="27"/>
      <c r="L76" s="24"/>
      <c r="N76" s="23">
        <f>+'[1]RELACION COCIDA 2022'!$N$73</f>
        <v>0</v>
      </c>
      <c r="Q76" s="24"/>
      <c r="U76" s="23"/>
      <c r="V76" s="266"/>
    </row>
    <row r="77" spans="2:26">
      <c r="R77" s="27"/>
    </row>
    <row r="78" spans="2:26">
      <c r="B78" s="42"/>
      <c r="C78" s="272"/>
      <c r="D78" s="272"/>
      <c r="E78" s="42"/>
      <c r="F78" s="42"/>
      <c r="T78" s="16"/>
    </row>
    <row r="79" spans="2:26">
      <c r="B79" s="42"/>
      <c r="C79" s="108" t="s">
        <v>219</v>
      </c>
      <c r="D79" s="273">
        <f>+D5</f>
        <v>3168732</v>
      </c>
      <c r="E79" s="48">
        <f>+R73</f>
        <v>194173065.83000001</v>
      </c>
      <c r="F79" s="42"/>
      <c r="Q79" s="24"/>
    </row>
    <row r="80" spans="2:26">
      <c r="B80" s="42"/>
      <c r="C80" s="115" t="s">
        <v>221</v>
      </c>
      <c r="D80" s="276">
        <f>+D66</f>
        <v>23526952</v>
      </c>
      <c r="E80" s="54">
        <v>1459929468.6600001</v>
      </c>
      <c r="F80" s="277">
        <f>+E80/D80</f>
        <v>62.053489489841269</v>
      </c>
      <c r="G80" s="42"/>
      <c r="Q80" s="27"/>
    </row>
    <row r="81" spans="2:17">
      <c r="B81" s="42"/>
      <c r="C81" s="42" t="s">
        <v>220</v>
      </c>
      <c r="D81" s="273">
        <v>8580448</v>
      </c>
      <c r="E81" s="42">
        <v>1664606912</v>
      </c>
      <c r="F81" s="278">
        <v>62.053400000000003</v>
      </c>
      <c r="G81" s="54"/>
      <c r="H81" s="27"/>
      <c r="Q81" s="27"/>
    </row>
    <row r="82" spans="2:17">
      <c r="B82" s="42"/>
      <c r="C82" s="272"/>
      <c r="D82" s="274">
        <f>SUM(D79:D81)</f>
        <v>35276132</v>
      </c>
      <c r="E82" s="275">
        <f>SUM(E79:E81)</f>
        <v>3318709446.4899998</v>
      </c>
      <c r="F82" s="42"/>
    </row>
    <row r="83" spans="2:17">
      <c r="E83" s="42"/>
      <c r="F83" s="42"/>
    </row>
    <row r="84" spans="2:17">
      <c r="E84" s="42"/>
      <c r="F84" s="42"/>
    </row>
  </sheetData>
  <mergeCells count="2">
    <mergeCell ref="C3:D3"/>
    <mergeCell ref="C4:D4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31"/>
  <sheetViews>
    <sheetView topLeftCell="I97" workbookViewId="0">
      <selection activeCell="K112" sqref="K112"/>
    </sheetView>
  </sheetViews>
  <sheetFormatPr baseColWidth="10" defaultRowHeight="15"/>
  <cols>
    <col min="1" max="1" width="0" hidden="1" customWidth="1"/>
    <col min="2" max="2" width="3.5703125" customWidth="1"/>
    <col min="3" max="3" width="25.140625" style="115" customWidth="1"/>
    <col min="4" max="4" width="13.7109375" style="115" customWidth="1"/>
    <col min="5" max="5" width="15.7109375" customWidth="1"/>
    <col min="6" max="6" width="15.5703125" customWidth="1"/>
    <col min="7" max="7" width="16.28515625" customWidth="1"/>
    <col min="8" max="9" width="15.85546875" customWidth="1"/>
    <col min="10" max="10" width="16.140625" customWidth="1"/>
    <col min="11" max="11" width="16.28515625" customWidth="1"/>
    <col min="12" max="12" width="16.5703125" customWidth="1"/>
    <col min="13" max="13" width="15.140625" customWidth="1"/>
    <col min="14" max="14" width="16" customWidth="1"/>
    <col min="15" max="15" width="15.42578125" customWidth="1"/>
    <col min="16" max="16" width="17" customWidth="1"/>
    <col min="17" max="17" width="16.85546875" customWidth="1"/>
    <col min="18" max="18" width="17.85546875" style="27" customWidth="1"/>
    <col min="19" max="19" width="18.7109375" customWidth="1"/>
    <col min="20" max="20" width="16.85546875" bestFit="1" customWidth="1"/>
    <col min="21" max="21" width="17.28515625" bestFit="1" customWidth="1"/>
  </cols>
  <sheetData>
    <row r="1" spans="2:20">
      <c r="E1" s="24"/>
    </row>
    <row r="2" spans="2:20" ht="15.75" thickBot="1">
      <c r="G2" s="27">
        <f>+G105/22</f>
        <v>114134.27272727272</v>
      </c>
      <c r="H2">
        <f>77226+175612</f>
        <v>252838</v>
      </c>
      <c r="K2" s="27"/>
      <c r="L2" s="16"/>
      <c r="M2" s="27"/>
      <c r="N2" s="27"/>
      <c r="O2" s="27"/>
      <c r="P2" s="27"/>
      <c r="Q2" s="27"/>
    </row>
    <row r="3" spans="2:20" ht="15.75" thickBot="1">
      <c r="C3" s="385" t="s">
        <v>71</v>
      </c>
      <c r="D3" s="386"/>
    </row>
    <row r="4" spans="2:20" ht="15.75" thickBot="1">
      <c r="C4" s="387" t="s">
        <v>1</v>
      </c>
      <c r="D4" s="388"/>
      <c r="E4" s="116" t="s">
        <v>48</v>
      </c>
      <c r="F4" s="116" t="s">
        <v>49</v>
      </c>
      <c r="G4" s="116" t="s">
        <v>50</v>
      </c>
      <c r="H4" s="116" t="s">
        <v>51</v>
      </c>
      <c r="I4" s="116" t="s">
        <v>52</v>
      </c>
      <c r="J4" s="116" t="s">
        <v>53</v>
      </c>
      <c r="K4" s="116" t="s">
        <v>54</v>
      </c>
      <c r="L4" s="117" t="s">
        <v>55</v>
      </c>
      <c r="M4" s="118" t="s">
        <v>140</v>
      </c>
      <c r="N4" s="118" t="s">
        <v>57</v>
      </c>
      <c r="O4" s="118" t="s">
        <v>66</v>
      </c>
      <c r="P4" s="118" t="s">
        <v>67</v>
      </c>
      <c r="Q4" s="116" t="s">
        <v>58</v>
      </c>
    </row>
    <row r="5" spans="2:20" ht="15.75" thickBot="1">
      <c r="C5" s="300" t="s">
        <v>2</v>
      </c>
      <c r="D5" s="301">
        <f>+Q5</f>
        <v>1614760</v>
      </c>
      <c r="E5" s="121">
        <v>206639</v>
      </c>
      <c r="F5" s="121">
        <f>69987+151929</f>
        <v>221916</v>
      </c>
      <c r="G5" s="121">
        <v>252838</v>
      </c>
      <c r="H5" s="121">
        <f>179480+74068</f>
        <v>253548</v>
      </c>
      <c r="I5" s="121">
        <f>198985+79310</f>
        <v>278295</v>
      </c>
      <c r="J5" s="122">
        <f>71684+130137</f>
        <v>201821</v>
      </c>
      <c r="K5" s="122">
        <f>126294+73409</f>
        <v>199703</v>
      </c>
      <c r="L5" s="121"/>
      <c r="M5" s="122"/>
      <c r="N5" s="122"/>
      <c r="O5" s="122"/>
      <c r="P5" s="122"/>
      <c r="Q5" s="13">
        <f>SUM(E5:P5)</f>
        <v>1614760</v>
      </c>
      <c r="S5" s="23"/>
    </row>
    <row r="6" spans="2:20" ht="15.75" thickBot="1">
      <c r="C6" s="302" t="s">
        <v>3</v>
      </c>
      <c r="D6" s="303"/>
      <c r="E6" s="112">
        <f>131537+75102</f>
        <v>206639</v>
      </c>
      <c r="F6" s="125">
        <v>221916</v>
      </c>
      <c r="G6" s="125">
        <f>+G5</f>
        <v>252838</v>
      </c>
      <c r="H6" s="125">
        <f>+H5</f>
        <v>253548</v>
      </c>
      <c r="I6" s="125">
        <f>+I5</f>
        <v>278295</v>
      </c>
      <c r="J6" s="125">
        <f>+J5</f>
        <v>201821</v>
      </c>
      <c r="K6" s="125">
        <f>+K5</f>
        <v>199703</v>
      </c>
      <c r="L6" s="125"/>
      <c r="M6" s="125"/>
      <c r="N6" s="125"/>
      <c r="O6" s="125"/>
      <c r="P6" s="125"/>
      <c r="Q6" s="45">
        <f>SUM(E6:P6)</f>
        <v>1614760</v>
      </c>
      <c r="S6" s="23">
        <f t="shared" ref="S6" si="0">+Q6*R6</f>
        <v>0</v>
      </c>
      <c r="T6">
        <f>+T109</f>
        <v>0</v>
      </c>
    </row>
    <row r="7" spans="2:20">
      <c r="B7" s="299">
        <v>1</v>
      </c>
      <c r="C7" s="127" t="s">
        <v>4</v>
      </c>
      <c r="D7" s="128">
        <f>+Q7</f>
        <v>2153663</v>
      </c>
      <c r="E7" s="13">
        <v>333122</v>
      </c>
      <c r="F7" s="13">
        <v>326757</v>
      </c>
      <c r="G7" s="13">
        <v>334236</v>
      </c>
      <c r="H7" s="13">
        <v>258396</v>
      </c>
      <c r="I7" s="13">
        <v>297504</v>
      </c>
      <c r="J7" s="13">
        <v>293556</v>
      </c>
      <c r="K7" s="307">
        <v>310092</v>
      </c>
      <c r="L7" s="13"/>
      <c r="M7" s="13"/>
      <c r="N7" s="13"/>
      <c r="O7" s="13"/>
      <c r="P7" s="13"/>
      <c r="Q7" s="13">
        <f>SUM(E7:P7)</f>
        <v>2153663</v>
      </c>
      <c r="R7" s="113"/>
      <c r="S7" s="23">
        <f>+Q7*R7</f>
        <v>0</v>
      </c>
      <c r="T7" s="16">
        <f>SUM(E7:Q7)</f>
        <v>4307326</v>
      </c>
    </row>
    <row r="8" spans="2:20">
      <c r="B8" s="299">
        <v>2</v>
      </c>
      <c r="C8" s="129" t="s">
        <v>5</v>
      </c>
      <c r="D8" s="130">
        <f t="shared" ref="D8:D93" si="1">+Q8</f>
        <v>424559</v>
      </c>
      <c r="E8" s="13">
        <v>50930</v>
      </c>
      <c r="F8" s="13">
        <v>56787</v>
      </c>
      <c r="G8" s="13">
        <v>52326</v>
      </c>
      <c r="H8" s="13">
        <v>48920</v>
      </c>
      <c r="I8" s="13">
        <v>69819</v>
      </c>
      <c r="J8" s="44">
        <v>62381</v>
      </c>
      <c r="K8" s="308">
        <v>83396</v>
      </c>
      <c r="L8" s="13"/>
      <c r="M8" s="13"/>
      <c r="N8" s="13"/>
      <c r="O8" s="13"/>
      <c r="P8" s="13"/>
      <c r="Q8" s="13">
        <f t="shared" ref="Q8:Q71" si="2">SUM(E8:P8)</f>
        <v>424559</v>
      </c>
      <c r="R8" s="113"/>
      <c r="S8" s="23">
        <f t="shared" ref="S8:S72" si="3">+Q8*R8</f>
        <v>0</v>
      </c>
    </row>
    <row r="9" spans="2:20" s="115" customFormat="1">
      <c r="B9" s="299">
        <v>3</v>
      </c>
      <c r="C9" s="132" t="s">
        <v>6</v>
      </c>
      <c r="D9" s="128">
        <f t="shared" si="1"/>
        <v>626375</v>
      </c>
      <c r="E9" s="279">
        <v>57097</v>
      </c>
      <c r="F9" s="279">
        <v>68502</v>
      </c>
      <c r="G9" s="279">
        <v>80338</v>
      </c>
      <c r="H9" s="279">
        <v>87662</v>
      </c>
      <c r="I9" s="279">
        <v>92779</v>
      </c>
      <c r="J9" s="280">
        <v>136221</v>
      </c>
      <c r="K9" s="309">
        <v>103776</v>
      </c>
      <c r="L9" s="279"/>
      <c r="M9" s="13"/>
      <c r="N9" s="13"/>
      <c r="O9" s="13"/>
      <c r="P9" s="13"/>
      <c r="Q9" s="13">
        <f t="shared" si="2"/>
        <v>626375</v>
      </c>
      <c r="R9" s="113"/>
      <c r="S9" s="23">
        <f t="shared" si="3"/>
        <v>0</v>
      </c>
    </row>
    <row r="10" spans="2:20">
      <c r="B10" s="299">
        <v>4</v>
      </c>
      <c r="C10" s="129" t="s">
        <v>7</v>
      </c>
      <c r="D10" s="130">
        <f t="shared" si="1"/>
        <v>326532</v>
      </c>
      <c r="E10" s="13">
        <v>37492</v>
      </c>
      <c r="F10" s="13">
        <v>42871</v>
      </c>
      <c r="G10" s="13">
        <v>43555</v>
      </c>
      <c r="H10" s="13">
        <v>39549</v>
      </c>
      <c r="I10" s="13">
        <v>54555</v>
      </c>
      <c r="J10" s="44">
        <v>51751</v>
      </c>
      <c r="K10" s="308">
        <v>56759</v>
      </c>
      <c r="L10" s="13"/>
      <c r="M10" s="13"/>
      <c r="N10" s="13"/>
      <c r="O10" s="13"/>
      <c r="P10" s="13"/>
      <c r="Q10" s="13">
        <f t="shared" si="2"/>
        <v>326532</v>
      </c>
      <c r="R10" s="113"/>
      <c r="S10" s="23">
        <f t="shared" si="3"/>
        <v>0</v>
      </c>
    </row>
    <row r="11" spans="2:20" s="115" customFormat="1">
      <c r="B11" s="299">
        <v>5</v>
      </c>
      <c r="C11" s="132" t="s">
        <v>8</v>
      </c>
      <c r="D11" s="128">
        <f t="shared" si="1"/>
        <v>389648</v>
      </c>
      <c r="E11" s="279">
        <v>46787</v>
      </c>
      <c r="F11" s="279">
        <v>55100</v>
      </c>
      <c r="G11" s="279">
        <v>52030</v>
      </c>
      <c r="H11" s="279">
        <v>56747</v>
      </c>
      <c r="I11" s="279">
        <v>63719</v>
      </c>
      <c r="J11" s="280">
        <v>57886</v>
      </c>
      <c r="K11" s="309">
        <v>57379</v>
      </c>
      <c r="L11" s="279"/>
      <c r="M11" s="13"/>
      <c r="N11" s="13"/>
      <c r="O11" s="13"/>
      <c r="P11" s="13"/>
      <c r="Q11" s="13">
        <f t="shared" si="2"/>
        <v>389648</v>
      </c>
      <c r="R11" s="113"/>
      <c r="S11" s="23">
        <f t="shared" si="3"/>
        <v>0</v>
      </c>
    </row>
    <row r="12" spans="2:20">
      <c r="B12" s="299">
        <v>6</v>
      </c>
      <c r="C12" s="129" t="s">
        <v>9</v>
      </c>
      <c r="D12" s="130">
        <f t="shared" si="1"/>
        <v>588239</v>
      </c>
      <c r="E12" s="13">
        <v>62148</v>
      </c>
      <c r="F12" s="13">
        <v>77499</v>
      </c>
      <c r="G12" s="13">
        <v>74252</v>
      </c>
      <c r="H12" s="13">
        <v>81411</v>
      </c>
      <c r="I12" s="13">
        <v>91857</v>
      </c>
      <c r="J12" s="44">
        <v>92296</v>
      </c>
      <c r="K12" s="308">
        <v>108776</v>
      </c>
      <c r="L12" s="13"/>
      <c r="M12" s="13"/>
      <c r="N12" s="13"/>
      <c r="O12" s="13"/>
      <c r="P12" s="13"/>
      <c r="Q12" s="13">
        <f t="shared" si="2"/>
        <v>588239</v>
      </c>
      <c r="R12" s="113"/>
      <c r="S12" s="23">
        <f t="shared" si="3"/>
        <v>0</v>
      </c>
    </row>
    <row r="13" spans="2:20" s="115" customFormat="1">
      <c r="B13" s="299">
        <v>7</v>
      </c>
      <c r="C13" s="132" t="s">
        <v>185</v>
      </c>
      <c r="D13" s="128">
        <f>+Q13</f>
        <v>55263</v>
      </c>
      <c r="E13" s="279">
        <v>13551</v>
      </c>
      <c r="F13" s="279">
        <v>11046</v>
      </c>
      <c r="G13" s="279">
        <v>12431</v>
      </c>
      <c r="H13" s="279">
        <v>6401</v>
      </c>
      <c r="I13" s="279">
        <v>10561</v>
      </c>
      <c r="J13" s="280">
        <v>1273</v>
      </c>
      <c r="K13" s="309"/>
      <c r="L13" s="279"/>
      <c r="M13" s="13"/>
      <c r="N13" s="13"/>
      <c r="O13" s="13"/>
      <c r="P13" s="13"/>
      <c r="Q13" s="13">
        <f t="shared" si="2"/>
        <v>55263</v>
      </c>
      <c r="R13" s="113"/>
      <c r="S13" s="23">
        <f t="shared" si="3"/>
        <v>0</v>
      </c>
    </row>
    <row r="14" spans="2:20">
      <c r="B14" s="299">
        <v>8</v>
      </c>
      <c r="C14" s="129" t="s">
        <v>10</v>
      </c>
      <c r="D14" s="130">
        <f t="shared" si="1"/>
        <v>337223</v>
      </c>
      <c r="E14" s="13">
        <v>34370</v>
      </c>
      <c r="F14" s="13">
        <v>42045</v>
      </c>
      <c r="G14" s="13">
        <v>44205</v>
      </c>
      <c r="H14" s="13">
        <v>44524</v>
      </c>
      <c r="I14" s="13">
        <v>51032</v>
      </c>
      <c r="J14" s="44">
        <v>55817</v>
      </c>
      <c r="K14" s="308">
        <v>65230</v>
      </c>
      <c r="L14" s="13"/>
      <c r="M14" s="13"/>
      <c r="N14" s="13"/>
      <c r="O14" s="13"/>
      <c r="P14" s="13"/>
      <c r="Q14" s="13">
        <f t="shared" si="2"/>
        <v>337223</v>
      </c>
      <c r="R14" s="113"/>
      <c r="S14" s="23">
        <f t="shared" si="3"/>
        <v>0</v>
      </c>
    </row>
    <row r="15" spans="2:20">
      <c r="B15" s="299">
        <v>9</v>
      </c>
      <c r="C15" s="132" t="s">
        <v>11</v>
      </c>
      <c r="D15" s="128">
        <f t="shared" si="1"/>
        <v>331438</v>
      </c>
      <c r="E15" s="13">
        <v>36056</v>
      </c>
      <c r="F15" s="13">
        <v>42026</v>
      </c>
      <c r="G15" s="13">
        <v>44834</v>
      </c>
      <c r="H15" s="13">
        <v>47666</v>
      </c>
      <c r="I15" s="13">
        <v>47132</v>
      </c>
      <c r="J15" s="44">
        <f>51635+915+2660</f>
        <v>55210</v>
      </c>
      <c r="K15" s="308">
        <v>58514</v>
      </c>
      <c r="L15" s="13"/>
      <c r="M15" s="13"/>
      <c r="N15" s="13"/>
      <c r="O15" s="13"/>
      <c r="P15" s="13"/>
      <c r="Q15" s="13">
        <f t="shared" si="2"/>
        <v>331438</v>
      </c>
      <c r="R15" s="113"/>
      <c r="S15" s="23">
        <f t="shared" si="3"/>
        <v>0</v>
      </c>
    </row>
    <row r="16" spans="2:20">
      <c r="B16" s="299">
        <v>10</v>
      </c>
      <c r="C16" s="129" t="s">
        <v>159</v>
      </c>
      <c r="D16" s="130">
        <f>+Q16</f>
        <v>279844</v>
      </c>
      <c r="E16" s="13">
        <v>27809</v>
      </c>
      <c r="F16" s="13">
        <v>40060</v>
      </c>
      <c r="G16" s="13">
        <v>46400</v>
      </c>
      <c r="H16" s="13">
        <v>42150</v>
      </c>
      <c r="I16" s="13">
        <v>39200</v>
      </c>
      <c r="J16" s="131">
        <v>35150</v>
      </c>
      <c r="K16" s="310">
        <v>49075</v>
      </c>
      <c r="L16" s="14"/>
      <c r="M16" s="13"/>
      <c r="N16" s="13"/>
      <c r="O16" s="13"/>
      <c r="P16" s="13"/>
      <c r="Q16" s="13">
        <f t="shared" si="2"/>
        <v>279844</v>
      </c>
      <c r="R16" s="113"/>
      <c r="S16" s="23">
        <f t="shared" si="3"/>
        <v>0</v>
      </c>
    </row>
    <row r="17" spans="2:19" s="115" customFormat="1">
      <c r="B17" s="299">
        <v>11</v>
      </c>
      <c r="C17" s="132" t="s">
        <v>75</v>
      </c>
      <c r="D17" s="128">
        <f t="shared" si="1"/>
        <v>154702</v>
      </c>
      <c r="E17" s="279">
        <v>17929</v>
      </c>
      <c r="F17" s="279">
        <v>20655</v>
      </c>
      <c r="G17" s="279">
        <v>19450</v>
      </c>
      <c r="H17" s="279">
        <v>21461</v>
      </c>
      <c r="I17" s="279">
        <v>23339</v>
      </c>
      <c r="J17" s="280">
        <v>21928</v>
      </c>
      <c r="K17" s="309">
        <v>29940</v>
      </c>
      <c r="L17" s="279"/>
      <c r="M17" s="13"/>
      <c r="N17" s="13"/>
      <c r="O17" s="13"/>
      <c r="P17" s="13"/>
      <c r="Q17" s="13">
        <f t="shared" si="2"/>
        <v>154702</v>
      </c>
      <c r="R17" s="113"/>
      <c r="S17" s="23">
        <f t="shared" si="3"/>
        <v>0</v>
      </c>
    </row>
    <row r="18" spans="2:19">
      <c r="B18" s="299">
        <v>12</v>
      </c>
      <c r="C18" s="129" t="s">
        <v>156</v>
      </c>
      <c r="D18" s="130">
        <f t="shared" si="1"/>
        <v>435726</v>
      </c>
      <c r="E18" s="13">
        <v>0</v>
      </c>
      <c r="F18" s="13">
        <v>73958</v>
      </c>
      <c r="G18" s="13">
        <v>125902</v>
      </c>
      <c r="H18" s="13">
        <v>164447</v>
      </c>
      <c r="I18" s="13">
        <v>71419</v>
      </c>
      <c r="J18" s="44">
        <v>0</v>
      </c>
      <c r="K18" s="308"/>
      <c r="L18" s="13"/>
      <c r="M18" s="13"/>
      <c r="N18" s="13"/>
      <c r="O18" s="13"/>
      <c r="P18" s="13"/>
      <c r="Q18" s="13">
        <f t="shared" si="2"/>
        <v>435726</v>
      </c>
      <c r="R18" s="113"/>
      <c r="S18" s="23">
        <f t="shared" si="3"/>
        <v>0</v>
      </c>
    </row>
    <row r="19" spans="2:19">
      <c r="B19" s="299">
        <v>13</v>
      </c>
      <c r="C19" s="132" t="s">
        <v>180</v>
      </c>
      <c r="D19" s="128">
        <f t="shared" si="1"/>
        <v>68018</v>
      </c>
      <c r="E19" s="13">
        <v>8118</v>
      </c>
      <c r="F19" s="13">
        <v>8619</v>
      </c>
      <c r="G19" s="13">
        <v>8598</v>
      </c>
      <c r="H19" s="13">
        <v>11173</v>
      </c>
      <c r="I19" s="13">
        <v>11234</v>
      </c>
      <c r="J19" s="44">
        <v>9829</v>
      </c>
      <c r="K19" s="308">
        <v>10447</v>
      </c>
      <c r="L19" s="13"/>
      <c r="M19" s="13"/>
      <c r="N19" s="13"/>
      <c r="O19" s="13"/>
      <c r="P19" s="13"/>
      <c r="Q19" s="13">
        <f t="shared" si="2"/>
        <v>68018</v>
      </c>
      <c r="R19" s="113"/>
      <c r="S19" s="23">
        <f t="shared" si="3"/>
        <v>0</v>
      </c>
    </row>
    <row r="20" spans="2:19">
      <c r="B20" s="299">
        <v>14</v>
      </c>
      <c r="C20" s="129" t="s">
        <v>181</v>
      </c>
      <c r="D20" s="130">
        <f t="shared" si="1"/>
        <v>146465</v>
      </c>
      <c r="E20" s="13">
        <v>15750</v>
      </c>
      <c r="F20" s="13">
        <v>19760</v>
      </c>
      <c r="G20" s="13">
        <v>21750</v>
      </c>
      <c r="H20" s="13">
        <v>21737</v>
      </c>
      <c r="I20" s="13">
        <v>20844</v>
      </c>
      <c r="J20" s="44">
        <v>20374</v>
      </c>
      <c r="K20" s="308">
        <v>26250</v>
      </c>
      <c r="L20" s="13"/>
      <c r="M20" s="13"/>
      <c r="N20" s="13"/>
      <c r="O20" s="13"/>
      <c r="P20" s="13"/>
      <c r="Q20" s="13">
        <f t="shared" si="2"/>
        <v>146465</v>
      </c>
      <c r="R20" s="113"/>
      <c r="S20" s="23">
        <f t="shared" si="3"/>
        <v>0</v>
      </c>
    </row>
    <row r="21" spans="2:19">
      <c r="B21" s="299">
        <v>15</v>
      </c>
      <c r="C21" s="132" t="s">
        <v>14</v>
      </c>
      <c r="D21" s="128">
        <f t="shared" si="1"/>
        <v>122282</v>
      </c>
      <c r="E21" s="13">
        <v>14835</v>
      </c>
      <c r="F21" s="13">
        <v>15666</v>
      </c>
      <c r="G21" s="13">
        <v>15289</v>
      </c>
      <c r="H21" s="13">
        <v>18844</v>
      </c>
      <c r="I21" s="13">
        <v>18683</v>
      </c>
      <c r="J21" s="44">
        <v>18457</v>
      </c>
      <c r="K21" s="308">
        <v>20508</v>
      </c>
      <c r="L21" s="13"/>
      <c r="M21" s="13"/>
      <c r="N21" s="13"/>
      <c r="O21" s="13"/>
      <c r="P21" s="13"/>
      <c r="Q21" s="13">
        <f t="shared" si="2"/>
        <v>122282</v>
      </c>
      <c r="R21" s="113"/>
      <c r="S21" s="23">
        <f t="shared" si="3"/>
        <v>0</v>
      </c>
    </row>
    <row r="22" spans="2:19">
      <c r="B22" s="299">
        <v>16</v>
      </c>
      <c r="C22" s="129" t="s">
        <v>12</v>
      </c>
      <c r="D22" s="130">
        <f>+Q22</f>
        <v>116220</v>
      </c>
      <c r="E22" s="13">
        <v>12971</v>
      </c>
      <c r="F22" s="13">
        <v>14384</v>
      </c>
      <c r="G22" s="13">
        <v>13823</v>
      </c>
      <c r="H22" s="13">
        <v>16512</v>
      </c>
      <c r="I22" s="13">
        <v>18586</v>
      </c>
      <c r="J22" s="44">
        <v>18836</v>
      </c>
      <c r="K22" s="308">
        <v>21108</v>
      </c>
      <c r="L22" s="13"/>
      <c r="M22" s="13"/>
      <c r="N22" s="13"/>
      <c r="O22" s="13"/>
      <c r="P22" s="13"/>
      <c r="Q22" s="13">
        <f t="shared" si="2"/>
        <v>116220</v>
      </c>
      <c r="R22" s="113"/>
      <c r="S22" s="23">
        <f t="shared" si="3"/>
        <v>0</v>
      </c>
    </row>
    <row r="23" spans="2:19">
      <c r="B23" s="299">
        <v>17</v>
      </c>
      <c r="C23" s="129" t="s">
        <v>230</v>
      </c>
      <c r="D23" s="130">
        <f>+Q23</f>
        <v>87842</v>
      </c>
      <c r="E23" s="13">
        <v>9762</v>
      </c>
      <c r="F23" s="13">
        <v>11420</v>
      </c>
      <c r="G23" s="13">
        <v>11160</v>
      </c>
      <c r="H23" s="13">
        <v>14260</v>
      </c>
      <c r="I23" s="13">
        <v>13020</v>
      </c>
      <c r="J23" s="44">
        <v>12900</v>
      </c>
      <c r="K23" s="308">
        <v>15320</v>
      </c>
      <c r="L23" s="13"/>
      <c r="M23" s="13"/>
      <c r="N23" s="13"/>
      <c r="O23" s="13"/>
      <c r="P23" s="13"/>
      <c r="Q23" s="13">
        <f t="shared" si="2"/>
        <v>87842</v>
      </c>
      <c r="R23" s="113"/>
      <c r="S23" s="23">
        <f t="shared" si="3"/>
        <v>0</v>
      </c>
    </row>
    <row r="24" spans="2:19" s="115" customFormat="1">
      <c r="B24" s="299">
        <v>18</v>
      </c>
      <c r="C24" s="132" t="s">
        <v>13</v>
      </c>
      <c r="D24" s="128">
        <f t="shared" si="1"/>
        <v>125913</v>
      </c>
      <c r="E24" s="279">
        <v>13970</v>
      </c>
      <c r="F24" s="279">
        <v>17428</v>
      </c>
      <c r="G24" s="279">
        <v>16566</v>
      </c>
      <c r="H24" s="279">
        <v>17459</v>
      </c>
      <c r="I24" s="279">
        <v>18907</v>
      </c>
      <c r="J24" s="280">
        <v>19038</v>
      </c>
      <c r="K24" s="309">
        <v>22545</v>
      </c>
      <c r="L24" s="279"/>
      <c r="M24" s="13"/>
      <c r="N24" s="13"/>
      <c r="O24" s="13"/>
      <c r="P24" s="13"/>
      <c r="Q24" s="13">
        <f t="shared" si="2"/>
        <v>125913</v>
      </c>
      <c r="R24" s="113"/>
      <c r="S24" s="23">
        <f t="shared" si="3"/>
        <v>0</v>
      </c>
    </row>
    <row r="25" spans="2:19">
      <c r="B25" s="299">
        <v>19</v>
      </c>
      <c r="C25" s="129" t="s">
        <v>15</v>
      </c>
      <c r="D25" s="130">
        <f t="shared" si="1"/>
        <v>57344</v>
      </c>
      <c r="E25" s="13">
        <v>5021</v>
      </c>
      <c r="F25" s="13">
        <v>10993</v>
      </c>
      <c r="G25" s="13">
        <v>7081</v>
      </c>
      <c r="H25" s="13">
        <v>3906</v>
      </c>
      <c r="I25" s="13">
        <v>8178</v>
      </c>
      <c r="J25" s="44">
        <v>9013</v>
      </c>
      <c r="K25" s="308">
        <v>13152</v>
      </c>
      <c r="L25" s="13"/>
      <c r="M25" s="13"/>
      <c r="N25" s="13"/>
      <c r="O25" s="13"/>
      <c r="P25" s="13"/>
      <c r="Q25" s="13">
        <f t="shared" si="2"/>
        <v>57344</v>
      </c>
      <c r="R25" s="113"/>
      <c r="S25" s="23">
        <f t="shared" si="3"/>
        <v>0</v>
      </c>
    </row>
    <row r="26" spans="2:19">
      <c r="B26" s="299">
        <v>20</v>
      </c>
      <c r="C26" s="132" t="s">
        <v>18</v>
      </c>
      <c r="D26" s="128">
        <f t="shared" si="1"/>
        <v>139590</v>
      </c>
      <c r="E26" s="13">
        <v>16271</v>
      </c>
      <c r="F26" s="13">
        <v>20045</v>
      </c>
      <c r="G26" s="13">
        <v>17706</v>
      </c>
      <c r="H26" s="13">
        <v>20013</v>
      </c>
      <c r="I26" s="13">
        <v>20525</v>
      </c>
      <c r="J26" s="44">
        <v>21404</v>
      </c>
      <c r="K26" s="308">
        <v>23626</v>
      </c>
      <c r="L26" s="13"/>
      <c r="M26" s="13"/>
      <c r="N26" s="13"/>
      <c r="O26" s="13"/>
      <c r="P26" s="13"/>
      <c r="Q26" s="13">
        <f t="shared" si="2"/>
        <v>139590</v>
      </c>
      <c r="R26" s="113"/>
      <c r="S26" s="23">
        <f t="shared" si="3"/>
        <v>0</v>
      </c>
    </row>
    <row r="27" spans="2:19">
      <c r="B27" s="299">
        <v>21</v>
      </c>
      <c r="C27" s="129" t="s">
        <v>70</v>
      </c>
      <c r="D27" s="130">
        <f t="shared" si="1"/>
        <v>197383</v>
      </c>
      <c r="E27" s="13">
        <v>24428</v>
      </c>
      <c r="F27" s="13">
        <v>29640</v>
      </c>
      <c r="G27" s="13">
        <v>24157</v>
      </c>
      <c r="H27" s="13">
        <v>26958</v>
      </c>
      <c r="I27" s="13">
        <v>31251</v>
      </c>
      <c r="J27" s="44">
        <v>28164</v>
      </c>
      <c r="K27" s="308">
        <v>32785</v>
      </c>
      <c r="L27" s="13"/>
      <c r="M27" s="13"/>
      <c r="N27" s="13"/>
      <c r="O27" s="13"/>
      <c r="P27" s="13"/>
      <c r="Q27" s="13">
        <f t="shared" si="2"/>
        <v>197383</v>
      </c>
      <c r="R27" s="113"/>
      <c r="S27" s="23">
        <f t="shared" si="3"/>
        <v>0</v>
      </c>
    </row>
    <row r="28" spans="2:19">
      <c r="B28" s="299">
        <v>22</v>
      </c>
      <c r="C28" s="132" t="s">
        <v>141</v>
      </c>
      <c r="D28" s="128">
        <f t="shared" si="1"/>
        <v>0</v>
      </c>
      <c r="E28" s="13">
        <v>0</v>
      </c>
      <c r="F28" s="13"/>
      <c r="G28" s="13"/>
      <c r="H28" s="13"/>
      <c r="I28" s="13"/>
      <c r="J28" s="44"/>
      <c r="K28" s="308"/>
      <c r="L28" s="44"/>
      <c r="M28" s="13"/>
      <c r="N28" s="13"/>
      <c r="O28" s="13"/>
      <c r="P28" s="13"/>
      <c r="Q28" s="13">
        <f t="shared" si="2"/>
        <v>0</v>
      </c>
      <c r="R28" s="113"/>
      <c r="S28" s="23">
        <f t="shared" si="3"/>
        <v>0</v>
      </c>
    </row>
    <row r="29" spans="2:19">
      <c r="B29" s="299">
        <v>23</v>
      </c>
      <c r="C29" s="129" t="s">
        <v>16</v>
      </c>
      <c r="D29" s="130">
        <f t="shared" si="1"/>
        <v>184671</v>
      </c>
      <c r="E29" s="13">
        <v>19200</v>
      </c>
      <c r="F29" s="13">
        <v>22734</v>
      </c>
      <c r="G29" s="13">
        <v>22462</v>
      </c>
      <c r="H29" s="13">
        <v>29354</v>
      </c>
      <c r="I29" s="13">
        <v>30164</v>
      </c>
      <c r="J29" s="44">
        <v>28301</v>
      </c>
      <c r="K29" s="308">
        <v>32456</v>
      </c>
      <c r="L29" s="13"/>
      <c r="M29" s="13"/>
      <c r="N29" s="13"/>
      <c r="O29" s="13"/>
      <c r="P29" s="13"/>
      <c r="Q29" s="13">
        <f t="shared" si="2"/>
        <v>184671</v>
      </c>
      <c r="R29" s="113"/>
      <c r="S29" s="23">
        <f t="shared" si="3"/>
        <v>0</v>
      </c>
    </row>
    <row r="30" spans="2:19" s="115" customFormat="1">
      <c r="B30" s="299">
        <v>24</v>
      </c>
      <c r="C30" s="132" t="s">
        <v>17</v>
      </c>
      <c r="D30" s="128">
        <f t="shared" si="1"/>
        <v>183546</v>
      </c>
      <c r="E30" s="279">
        <v>20290</v>
      </c>
      <c r="F30" s="279">
        <v>26585</v>
      </c>
      <c r="G30" s="279">
        <v>24448</v>
      </c>
      <c r="H30" s="279">
        <v>25236</v>
      </c>
      <c r="I30" s="279">
        <v>24797</v>
      </c>
      <c r="J30" s="280">
        <v>27301</v>
      </c>
      <c r="K30" s="309">
        <v>34889</v>
      </c>
      <c r="L30" s="279"/>
      <c r="M30" s="13"/>
      <c r="N30" s="13"/>
      <c r="O30" s="13"/>
      <c r="P30" s="13"/>
      <c r="Q30" s="13">
        <f t="shared" si="2"/>
        <v>183546</v>
      </c>
      <c r="R30" s="113"/>
      <c r="S30" s="23">
        <f t="shared" si="3"/>
        <v>0</v>
      </c>
    </row>
    <row r="31" spans="2:19">
      <c r="B31" s="299">
        <v>25</v>
      </c>
      <c r="C31" s="129" t="s">
        <v>19</v>
      </c>
      <c r="D31" s="130">
        <f t="shared" si="1"/>
        <v>308212</v>
      </c>
      <c r="E31" s="13">
        <v>37056</v>
      </c>
      <c r="F31" s="13">
        <v>45222</v>
      </c>
      <c r="G31" s="13">
        <v>41679</v>
      </c>
      <c r="H31" s="13">
        <v>45850</v>
      </c>
      <c r="I31" s="13">
        <v>45153</v>
      </c>
      <c r="J31" s="44">
        <v>45796</v>
      </c>
      <c r="K31" s="308">
        <v>47456</v>
      </c>
      <c r="L31" s="13"/>
      <c r="M31" s="13"/>
      <c r="N31" s="13"/>
      <c r="O31" s="13"/>
      <c r="P31" s="13"/>
      <c r="Q31" s="13">
        <f t="shared" si="2"/>
        <v>308212</v>
      </c>
      <c r="R31" s="113"/>
      <c r="S31" s="23">
        <f t="shared" si="3"/>
        <v>0</v>
      </c>
    </row>
    <row r="32" spans="2:19" s="115" customFormat="1">
      <c r="B32" s="299">
        <v>26</v>
      </c>
      <c r="C32" s="132" t="s">
        <v>157</v>
      </c>
      <c r="D32" s="128">
        <f>+Q32</f>
        <v>178088</v>
      </c>
      <c r="E32" s="279">
        <v>24897</v>
      </c>
      <c r="F32" s="279">
        <v>23395</v>
      </c>
      <c r="G32" s="279">
        <v>19540</v>
      </c>
      <c r="H32" s="279">
        <v>22940</v>
      </c>
      <c r="I32" s="279">
        <v>26965</v>
      </c>
      <c r="J32" s="280">
        <v>26251</v>
      </c>
      <c r="K32" s="309">
        <v>34100</v>
      </c>
      <c r="L32" s="279"/>
      <c r="M32" s="13"/>
      <c r="N32" s="13"/>
      <c r="O32" s="13"/>
      <c r="P32" s="13"/>
      <c r="Q32" s="13">
        <f t="shared" si="2"/>
        <v>178088</v>
      </c>
      <c r="R32" s="113"/>
      <c r="S32" s="23">
        <f t="shared" si="3"/>
        <v>0</v>
      </c>
    </row>
    <row r="33" spans="2:19" s="115" customFormat="1">
      <c r="B33" s="299">
        <v>27</v>
      </c>
      <c r="C33" s="129" t="s">
        <v>155</v>
      </c>
      <c r="D33" s="130">
        <f t="shared" ref="D33" si="4">+Q33</f>
        <v>75190</v>
      </c>
      <c r="E33" s="279">
        <v>7566</v>
      </c>
      <c r="F33" s="279">
        <v>9303</v>
      </c>
      <c r="G33" s="279">
        <v>9345</v>
      </c>
      <c r="H33" s="279">
        <v>10660</v>
      </c>
      <c r="I33" s="279">
        <v>13955</v>
      </c>
      <c r="J33" s="281">
        <v>12114</v>
      </c>
      <c r="K33" s="311">
        <v>12247</v>
      </c>
      <c r="L33" s="288"/>
      <c r="M33" s="13"/>
      <c r="N33" s="13"/>
      <c r="O33" s="13"/>
      <c r="P33" s="13"/>
      <c r="Q33" s="13">
        <f t="shared" si="2"/>
        <v>75190</v>
      </c>
      <c r="R33" s="113"/>
      <c r="S33" s="23">
        <f t="shared" si="3"/>
        <v>0</v>
      </c>
    </row>
    <row r="34" spans="2:19" s="115" customFormat="1">
      <c r="B34" s="299">
        <v>28</v>
      </c>
      <c r="C34" s="132" t="s">
        <v>20</v>
      </c>
      <c r="D34" s="128">
        <f t="shared" si="1"/>
        <v>266854</v>
      </c>
      <c r="E34" s="279">
        <v>31863</v>
      </c>
      <c r="F34" s="279">
        <v>37417</v>
      </c>
      <c r="G34" s="279">
        <v>37589</v>
      </c>
      <c r="H34" s="279">
        <v>37117</v>
      </c>
      <c r="I34" s="279">
        <v>38884</v>
      </c>
      <c r="J34" s="280">
        <v>38840</v>
      </c>
      <c r="K34" s="309">
        <v>45144</v>
      </c>
      <c r="L34" s="279"/>
      <c r="M34" s="13"/>
      <c r="N34" s="13"/>
      <c r="O34" s="13"/>
      <c r="P34" s="13"/>
      <c r="Q34" s="13">
        <f t="shared" si="2"/>
        <v>266854</v>
      </c>
      <c r="R34" s="113"/>
      <c r="S34" s="23">
        <f t="shared" si="3"/>
        <v>0</v>
      </c>
    </row>
    <row r="35" spans="2:19" s="115" customFormat="1">
      <c r="B35" s="299">
        <v>29</v>
      </c>
      <c r="C35" s="129" t="s">
        <v>21</v>
      </c>
      <c r="D35" s="130">
        <f t="shared" si="1"/>
        <v>260660</v>
      </c>
      <c r="E35" s="279">
        <v>28438</v>
      </c>
      <c r="F35" s="279">
        <v>35961</v>
      </c>
      <c r="G35" s="279">
        <v>34704</v>
      </c>
      <c r="H35" s="279">
        <v>40172</v>
      </c>
      <c r="I35" s="279">
        <v>37889</v>
      </c>
      <c r="J35" s="280">
        <v>38195</v>
      </c>
      <c r="K35" s="309">
        <v>45301</v>
      </c>
      <c r="L35" s="279"/>
      <c r="M35" s="13"/>
      <c r="N35" s="13"/>
      <c r="O35" s="13"/>
      <c r="P35" s="13"/>
      <c r="Q35" s="13">
        <f t="shared" si="2"/>
        <v>260660</v>
      </c>
      <c r="R35" s="113"/>
      <c r="S35" s="23">
        <f t="shared" si="3"/>
        <v>0</v>
      </c>
    </row>
    <row r="36" spans="2:19" s="115" customFormat="1">
      <c r="B36" s="299">
        <v>30</v>
      </c>
      <c r="C36" s="132" t="s">
        <v>160</v>
      </c>
      <c r="D36" s="128">
        <f>+Q36</f>
        <v>79762</v>
      </c>
      <c r="E36" s="279">
        <v>9468</v>
      </c>
      <c r="F36" s="279">
        <v>11351</v>
      </c>
      <c r="G36" s="279">
        <v>10372</v>
      </c>
      <c r="H36" s="279">
        <v>10613</v>
      </c>
      <c r="I36" s="279">
        <v>12436</v>
      </c>
      <c r="J36" s="281">
        <v>11716</v>
      </c>
      <c r="K36" s="311">
        <v>13806</v>
      </c>
      <c r="L36" s="288"/>
      <c r="M36" s="13"/>
      <c r="N36" s="13"/>
      <c r="O36" s="13"/>
      <c r="P36" s="13"/>
      <c r="Q36" s="13">
        <f t="shared" si="2"/>
        <v>79762</v>
      </c>
      <c r="R36" s="113"/>
      <c r="S36" s="23">
        <f t="shared" si="3"/>
        <v>0</v>
      </c>
    </row>
    <row r="37" spans="2:19" s="115" customFormat="1">
      <c r="B37" s="299">
        <v>31</v>
      </c>
      <c r="C37" s="129" t="s">
        <v>144</v>
      </c>
      <c r="D37" s="130">
        <f t="shared" si="1"/>
        <v>217688</v>
      </c>
      <c r="E37" s="279">
        <v>25400</v>
      </c>
      <c r="F37" s="279">
        <v>27000</v>
      </c>
      <c r="G37" s="279">
        <v>29380</v>
      </c>
      <c r="H37" s="279">
        <v>31550</v>
      </c>
      <c r="I37" s="279">
        <v>33800</v>
      </c>
      <c r="J37" s="280">
        <v>32520</v>
      </c>
      <c r="K37" s="309">
        <v>38038</v>
      </c>
      <c r="L37" s="279"/>
      <c r="M37" s="13"/>
      <c r="N37" s="13"/>
      <c r="O37" s="13"/>
      <c r="P37" s="13"/>
      <c r="Q37" s="13">
        <f t="shared" si="2"/>
        <v>217688</v>
      </c>
      <c r="R37" s="113"/>
      <c r="S37" s="23">
        <f t="shared" si="3"/>
        <v>0</v>
      </c>
    </row>
    <row r="38" spans="2:19" s="115" customFormat="1">
      <c r="B38" s="299">
        <v>32</v>
      </c>
      <c r="C38" s="132" t="s">
        <v>186</v>
      </c>
      <c r="D38" s="128">
        <f t="shared" si="1"/>
        <v>112930</v>
      </c>
      <c r="E38" s="279">
        <v>16015</v>
      </c>
      <c r="F38" s="279">
        <v>13168</v>
      </c>
      <c r="G38" s="279">
        <v>13032</v>
      </c>
      <c r="H38" s="279">
        <v>15531</v>
      </c>
      <c r="I38" s="279">
        <v>16976</v>
      </c>
      <c r="J38" s="280">
        <v>17792</v>
      </c>
      <c r="K38" s="309">
        <v>20416</v>
      </c>
      <c r="L38" s="279"/>
      <c r="M38" s="13"/>
      <c r="N38" s="13"/>
      <c r="O38" s="13"/>
      <c r="P38" s="13"/>
      <c r="Q38" s="13">
        <f t="shared" si="2"/>
        <v>112930</v>
      </c>
      <c r="R38" s="113"/>
      <c r="S38" s="23">
        <f t="shared" si="3"/>
        <v>0</v>
      </c>
    </row>
    <row r="39" spans="2:19" s="115" customFormat="1">
      <c r="B39" s="299">
        <v>33</v>
      </c>
      <c r="C39" s="129" t="s">
        <v>22</v>
      </c>
      <c r="D39" s="130">
        <f t="shared" si="1"/>
        <v>289050</v>
      </c>
      <c r="E39" s="279">
        <v>29600</v>
      </c>
      <c r="F39" s="279">
        <v>40850</v>
      </c>
      <c r="G39" s="279">
        <v>42375</v>
      </c>
      <c r="H39" s="279">
        <v>35185</v>
      </c>
      <c r="I39" s="279">
        <v>47220</v>
      </c>
      <c r="J39" s="280">
        <v>47580</v>
      </c>
      <c r="K39" s="309">
        <v>46240</v>
      </c>
      <c r="L39" s="279"/>
      <c r="M39" s="13"/>
      <c r="N39" s="13"/>
      <c r="O39" s="13"/>
      <c r="P39" s="13"/>
      <c r="Q39" s="13">
        <f t="shared" si="2"/>
        <v>289050</v>
      </c>
      <c r="R39" s="113"/>
      <c r="S39" s="23">
        <f t="shared" si="3"/>
        <v>0</v>
      </c>
    </row>
    <row r="40" spans="2:19" s="115" customFormat="1">
      <c r="B40" s="299">
        <v>34</v>
      </c>
      <c r="C40" s="132" t="s">
        <v>145</v>
      </c>
      <c r="D40" s="128">
        <f t="shared" si="1"/>
        <v>20302</v>
      </c>
      <c r="E40" s="279">
        <v>0</v>
      </c>
      <c r="F40" s="279">
        <v>1860</v>
      </c>
      <c r="G40" s="279">
        <v>5285</v>
      </c>
      <c r="H40" s="279">
        <v>5090</v>
      </c>
      <c r="I40" s="279">
        <v>3502</v>
      </c>
      <c r="J40" s="280">
        <v>2200</v>
      </c>
      <c r="K40" s="309">
        <v>2365</v>
      </c>
      <c r="L40" s="279"/>
      <c r="M40" s="13"/>
      <c r="N40" s="13"/>
      <c r="O40" s="13"/>
      <c r="P40" s="13"/>
      <c r="Q40" s="13">
        <f t="shared" si="2"/>
        <v>20302</v>
      </c>
      <c r="R40" s="113"/>
      <c r="S40" s="23">
        <f t="shared" si="3"/>
        <v>0</v>
      </c>
    </row>
    <row r="41" spans="2:19" s="115" customFormat="1">
      <c r="B41" s="299">
        <v>35</v>
      </c>
      <c r="C41" s="129" t="s">
        <v>62</v>
      </c>
      <c r="D41" s="130">
        <f t="shared" si="1"/>
        <v>256793</v>
      </c>
      <c r="E41" s="279">
        <v>28532</v>
      </c>
      <c r="F41" s="279">
        <v>32666</v>
      </c>
      <c r="G41" s="279">
        <v>23942</v>
      </c>
      <c r="H41" s="279">
        <v>64792</v>
      </c>
      <c r="I41" s="279">
        <v>34079</v>
      </c>
      <c r="J41" s="280">
        <v>32106</v>
      </c>
      <c r="K41" s="309">
        <v>40676</v>
      </c>
      <c r="L41" s="279"/>
      <c r="M41" s="13"/>
      <c r="N41" s="13"/>
      <c r="O41" s="13"/>
      <c r="P41" s="13"/>
      <c r="Q41" s="13">
        <f t="shared" si="2"/>
        <v>256793</v>
      </c>
      <c r="R41" s="113"/>
      <c r="S41" s="23">
        <f t="shared" si="3"/>
        <v>0</v>
      </c>
    </row>
    <row r="42" spans="2:19" s="115" customFormat="1">
      <c r="B42" s="299">
        <v>36</v>
      </c>
      <c r="C42" s="132" t="s">
        <v>64</v>
      </c>
      <c r="D42" s="128">
        <f t="shared" si="1"/>
        <v>144677</v>
      </c>
      <c r="E42" s="279">
        <v>17609</v>
      </c>
      <c r="F42" s="279">
        <v>21374</v>
      </c>
      <c r="G42" s="279">
        <v>20143</v>
      </c>
      <c r="H42" s="279">
        <v>21277</v>
      </c>
      <c r="I42" s="279">
        <v>22543</v>
      </c>
      <c r="J42" s="280">
        <v>20415</v>
      </c>
      <c r="K42" s="309">
        <v>21316</v>
      </c>
      <c r="L42" s="279"/>
      <c r="M42" s="13"/>
      <c r="N42" s="13"/>
      <c r="O42" s="13"/>
      <c r="P42" s="13"/>
      <c r="Q42" s="13">
        <f t="shared" si="2"/>
        <v>144677</v>
      </c>
      <c r="R42" s="113"/>
      <c r="S42" s="23">
        <f t="shared" si="3"/>
        <v>0</v>
      </c>
    </row>
    <row r="43" spans="2:19" s="115" customFormat="1">
      <c r="B43" s="299">
        <v>37</v>
      </c>
      <c r="C43" s="129" t="s">
        <v>161</v>
      </c>
      <c r="D43" s="130">
        <f t="shared" si="1"/>
        <v>127350</v>
      </c>
      <c r="E43" s="279">
        <v>13500</v>
      </c>
      <c r="F43" s="279">
        <v>15700</v>
      </c>
      <c r="G43" s="279">
        <v>16050</v>
      </c>
      <c r="H43" s="279">
        <v>18850</v>
      </c>
      <c r="I43" s="279">
        <v>20400</v>
      </c>
      <c r="J43" s="280">
        <v>20150</v>
      </c>
      <c r="K43" s="309">
        <v>22700</v>
      </c>
      <c r="L43" s="279"/>
      <c r="M43" s="13"/>
      <c r="N43" s="13"/>
      <c r="O43" s="13"/>
      <c r="P43" s="13"/>
      <c r="Q43" s="13">
        <f t="shared" si="2"/>
        <v>127350</v>
      </c>
      <c r="R43" s="113"/>
      <c r="S43" s="23">
        <f t="shared" si="3"/>
        <v>0</v>
      </c>
    </row>
    <row r="44" spans="2:19" s="115" customFormat="1">
      <c r="B44" s="299">
        <v>38</v>
      </c>
      <c r="C44" s="132" t="s">
        <v>45</v>
      </c>
      <c r="D44" s="128">
        <f t="shared" si="1"/>
        <v>163144</v>
      </c>
      <c r="E44" s="279">
        <v>18573</v>
      </c>
      <c r="F44" s="279">
        <v>22022</v>
      </c>
      <c r="G44" s="279">
        <v>19731</v>
      </c>
      <c r="H44" s="279">
        <v>21800</v>
      </c>
      <c r="I44" s="279">
        <v>25586</v>
      </c>
      <c r="J44" s="280">
        <v>25019</v>
      </c>
      <c r="K44" s="309">
        <v>30413</v>
      </c>
      <c r="L44" s="279"/>
      <c r="M44" s="13"/>
      <c r="N44" s="13"/>
      <c r="O44" s="13"/>
      <c r="P44" s="13"/>
      <c r="Q44" s="13">
        <f t="shared" si="2"/>
        <v>163144</v>
      </c>
      <c r="R44" s="113"/>
      <c r="S44" s="23">
        <f t="shared" si="3"/>
        <v>0</v>
      </c>
    </row>
    <row r="45" spans="2:19" s="115" customFormat="1">
      <c r="B45" s="299">
        <v>39</v>
      </c>
      <c r="C45" s="129" t="s">
        <v>162</v>
      </c>
      <c r="D45" s="130">
        <f t="shared" si="1"/>
        <v>124551</v>
      </c>
      <c r="E45" s="279">
        <v>12467</v>
      </c>
      <c r="F45" s="279">
        <v>12613</v>
      </c>
      <c r="G45" s="279">
        <v>16071</v>
      </c>
      <c r="H45" s="279">
        <v>18843</v>
      </c>
      <c r="I45" s="279">
        <v>18767</v>
      </c>
      <c r="J45" s="280">
        <v>20700</v>
      </c>
      <c r="K45" s="309">
        <v>25090</v>
      </c>
      <c r="L45" s="279"/>
      <c r="M45" s="13"/>
      <c r="N45" s="13"/>
      <c r="O45" s="13"/>
      <c r="P45" s="13"/>
      <c r="Q45" s="13">
        <f t="shared" si="2"/>
        <v>124551</v>
      </c>
      <c r="R45" s="113"/>
      <c r="S45" s="23">
        <f t="shared" si="3"/>
        <v>0</v>
      </c>
    </row>
    <row r="46" spans="2:19" s="115" customFormat="1">
      <c r="B46" s="299">
        <v>40</v>
      </c>
      <c r="C46" s="132" t="s">
        <v>163</v>
      </c>
      <c r="D46" s="128">
        <f>+Q46</f>
        <v>250796</v>
      </c>
      <c r="E46" s="279">
        <v>37250</v>
      </c>
      <c r="F46" s="279">
        <v>40680</v>
      </c>
      <c r="G46" s="279">
        <v>31800</v>
      </c>
      <c r="H46" s="279">
        <v>16515</v>
      </c>
      <c r="I46" s="279">
        <v>41296</v>
      </c>
      <c r="J46" s="281">
        <v>39300</v>
      </c>
      <c r="K46" s="311">
        <v>43955</v>
      </c>
      <c r="L46" s="288"/>
      <c r="M46" s="13"/>
      <c r="N46" s="13"/>
      <c r="O46" s="13"/>
      <c r="P46" s="13"/>
      <c r="Q46" s="13">
        <f t="shared" si="2"/>
        <v>250796</v>
      </c>
      <c r="R46" s="113"/>
      <c r="S46" s="23">
        <f t="shared" si="3"/>
        <v>0</v>
      </c>
    </row>
    <row r="47" spans="2:19" s="115" customFormat="1">
      <c r="B47" s="299">
        <v>41</v>
      </c>
      <c r="C47" s="129" t="s">
        <v>164</v>
      </c>
      <c r="D47" s="130">
        <f>+Q47</f>
        <v>125180</v>
      </c>
      <c r="E47" s="279">
        <v>17070</v>
      </c>
      <c r="F47" s="279">
        <v>18850</v>
      </c>
      <c r="G47" s="279">
        <v>16150</v>
      </c>
      <c r="H47" s="279">
        <v>17500</v>
      </c>
      <c r="I47" s="279">
        <v>17850</v>
      </c>
      <c r="J47" s="281">
        <v>17520</v>
      </c>
      <c r="K47" s="311">
        <v>20240</v>
      </c>
      <c r="L47" s="288"/>
      <c r="M47" s="13"/>
      <c r="N47" s="13"/>
      <c r="O47" s="13"/>
      <c r="P47" s="13"/>
      <c r="Q47" s="13">
        <f t="shared" si="2"/>
        <v>125180</v>
      </c>
      <c r="R47" s="113"/>
      <c r="S47" s="23">
        <f t="shared" si="3"/>
        <v>0</v>
      </c>
    </row>
    <row r="48" spans="2:19" s="115" customFormat="1">
      <c r="B48" s="299">
        <v>42</v>
      </c>
      <c r="C48" s="132" t="s">
        <v>165</v>
      </c>
      <c r="D48" s="128">
        <f>+Q48</f>
        <v>140785</v>
      </c>
      <c r="E48" s="279">
        <v>14345</v>
      </c>
      <c r="F48" s="279">
        <v>17402</v>
      </c>
      <c r="G48" s="279">
        <v>16830</v>
      </c>
      <c r="H48" s="279">
        <v>19250</v>
      </c>
      <c r="I48" s="279">
        <v>23800</v>
      </c>
      <c r="J48" s="281">
        <v>22568</v>
      </c>
      <c r="K48" s="311">
        <v>26590</v>
      </c>
      <c r="L48" s="288"/>
      <c r="M48" s="13"/>
      <c r="N48" s="13"/>
      <c r="O48" s="13"/>
      <c r="P48" s="13"/>
      <c r="Q48" s="13">
        <f t="shared" si="2"/>
        <v>140785</v>
      </c>
      <c r="R48" s="113"/>
      <c r="S48" s="23">
        <f t="shared" si="3"/>
        <v>0</v>
      </c>
    </row>
    <row r="49" spans="2:19" s="115" customFormat="1">
      <c r="B49" s="299">
        <v>43</v>
      </c>
      <c r="C49" s="129" t="s">
        <v>154</v>
      </c>
      <c r="D49" s="130">
        <f>+Q49</f>
        <v>95679</v>
      </c>
      <c r="E49" s="279">
        <v>11453</v>
      </c>
      <c r="F49" s="279">
        <v>13701</v>
      </c>
      <c r="G49" s="279">
        <v>12245</v>
      </c>
      <c r="H49" s="279">
        <v>13290</v>
      </c>
      <c r="I49" s="279">
        <v>14240</v>
      </c>
      <c r="J49" s="281">
        <v>14015</v>
      </c>
      <c r="K49" s="311">
        <v>16735</v>
      </c>
      <c r="L49" s="288"/>
      <c r="M49" s="13"/>
      <c r="N49" s="13"/>
      <c r="O49" s="13"/>
      <c r="P49" s="13"/>
      <c r="Q49" s="13">
        <f t="shared" si="2"/>
        <v>95679</v>
      </c>
      <c r="R49" s="113"/>
      <c r="S49" s="23">
        <f t="shared" si="3"/>
        <v>0</v>
      </c>
    </row>
    <row r="50" spans="2:19" s="115" customFormat="1">
      <c r="B50" s="299">
        <v>44</v>
      </c>
      <c r="C50" s="132" t="s">
        <v>182</v>
      </c>
      <c r="D50" s="128">
        <f>+Q50</f>
        <v>548329</v>
      </c>
      <c r="E50" s="279">
        <v>48768</v>
      </c>
      <c r="F50" s="279">
        <v>59061</v>
      </c>
      <c r="G50" s="279">
        <v>70758</v>
      </c>
      <c r="H50" s="279">
        <v>86499</v>
      </c>
      <c r="I50" s="279">
        <v>92696</v>
      </c>
      <c r="J50" s="281">
        <v>86070</v>
      </c>
      <c r="K50" s="311">
        <v>104477</v>
      </c>
      <c r="L50" s="288"/>
      <c r="M50" s="13"/>
      <c r="N50" s="13"/>
      <c r="O50" s="13"/>
      <c r="P50" s="13"/>
      <c r="Q50" s="13">
        <f t="shared" si="2"/>
        <v>548329</v>
      </c>
      <c r="R50" s="113"/>
      <c r="S50" s="23">
        <f t="shared" si="3"/>
        <v>0</v>
      </c>
    </row>
    <row r="51" spans="2:19" s="115" customFormat="1">
      <c r="B51" s="299">
        <v>45</v>
      </c>
      <c r="C51" s="129" t="s">
        <v>23</v>
      </c>
      <c r="D51" s="130">
        <f t="shared" si="1"/>
        <v>303319</v>
      </c>
      <c r="E51" s="279">
        <v>35244</v>
      </c>
      <c r="F51" s="279">
        <v>43024</v>
      </c>
      <c r="G51" s="279">
        <v>39383</v>
      </c>
      <c r="H51" s="279">
        <v>44116</v>
      </c>
      <c r="I51" s="279">
        <v>48403</v>
      </c>
      <c r="J51" s="280">
        <v>43022</v>
      </c>
      <c r="K51" s="309">
        <v>50127</v>
      </c>
      <c r="L51" s="279"/>
      <c r="M51" s="13"/>
      <c r="N51" s="13"/>
      <c r="O51" s="13"/>
      <c r="P51" s="13"/>
      <c r="Q51" s="13">
        <f t="shared" si="2"/>
        <v>303319</v>
      </c>
      <c r="R51" s="113"/>
      <c r="S51" s="23">
        <f t="shared" si="3"/>
        <v>0</v>
      </c>
    </row>
    <row r="52" spans="2:19" s="115" customFormat="1" ht="13.5" customHeight="1">
      <c r="B52" s="299">
        <v>46</v>
      </c>
      <c r="C52" s="132" t="s">
        <v>146</v>
      </c>
      <c r="D52" s="128">
        <f t="shared" si="1"/>
        <v>8260</v>
      </c>
      <c r="E52" s="279">
        <v>0</v>
      </c>
      <c r="F52" s="279">
        <v>720</v>
      </c>
      <c r="G52" s="279">
        <v>3240</v>
      </c>
      <c r="H52" s="279">
        <v>3480</v>
      </c>
      <c r="I52" s="279">
        <v>820</v>
      </c>
      <c r="J52" s="280">
        <v>0</v>
      </c>
      <c r="K52" s="309"/>
      <c r="L52" s="279"/>
      <c r="M52" s="13"/>
      <c r="N52" s="13"/>
      <c r="O52" s="13"/>
      <c r="P52" s="13"/>
      <c r="Q52" s="13">
        <f t="shared" si="2"/>
        <v>8260</v>
      </c>
      <c r="R52" s="113"/>
      <c r="S52" s="23">
        <f t="shared" si="3"/>
        <v>0</v>
      </c>
    </row>
    <row r="53" spans="2:19" s="115" customFormat="1">
      <c r="B53" s="299">
        <v>47</v>
      </c>
      <c r="C53" s="129" t="s">
        <v>65</v>
      </c>
      <c r="D53" s="130">
        <f t="shared" si="1"/>
        <v>45794</v>
      </c>
      <c r="E53" s="279">
        <v>5392</v>
      </c>
      <c r="F53" s="279">
        <v>6376</v>
      </c>
      <c r="G53" s="279">
        <v>6092</v>
      </c>
      <c r="H53" s="279">
        <v>6768</v>
      </c>
      <c r="I53" s="279">
        <v>7143</v>
      </c>
      <c r="J53" s="280">
        <v>6513</v>
      </c>
      <c r="K53" s="309">
        <v>7510</v>
      </c>
      <c r="L53" s="279"/>
      <c r="M53" s="13"/>
      <c r="N53" s="13"/>
      <c r="O53" s="13"/>
      <c r="P53" s="13"/>
      <c r="Q53" s="13">
        <f t="shared" si="2"/>
        <v>45794</v>
      </c>
      <c r="R53" s="113"/>
      <c r="S53" s="23">
        <f t="shared" si="3"/>
        <v>0</v>
      </c>
    </row>
    <row r="54" spans="2:19" s="115" customFormat="1">
      <c r="B54" s="299">
        <v>48</v>
      </c>
      <c r="C54" s="132" t="s">
        <v>25</v>
      </c>
      <c r="D54" s="128">
        <f t="shared" si="1"/>
        <v>52095</v>
      </c>
      <c r="E54" s="279">
        <v>6200</v>
      </c>
      <c r="F54" s="279">
        <v>7265</v>
      </c>
      <c r="G54" s="279">
        <v>6944</v>
      </c>
      <c r="H54" s="279">
        <v>7666</v>
      </c>
      <c r="I54" s="279">
        <v>8034</v>
      </c>
      <c r="J54" s="280">
        <v>7406</v>
      </c>
      <c r="K54" s="309">
        <v>8580</v>
      </c>
      <c r="L54" s="279"/>
      <c r="M54" s="13"/>
      <c r="N54" s="13"/>
      <c r="O54" s="13"/>
      <c r="P54" s="13"/>
      <c r="Q54" s="13">
        <f t="shared" si="2"/>
        <v>52095</v>
      </c>
      <c r="R54" s="113"/>
      <c r="S54" s="23">
        <f t="shared" si="3"/>
        <v>0</v>
      </c>
    </row>
    <row r="55" spans="2:19" s="115" customFormat="1">
      <c r="B55" s="299">
        <v>49</v>
      </c>
      <c r="C55" s="129" t="s">
        <v>63</v>
      </c>
      <c r="D55" s="130">
        <f t="shared" si="1"/>
        <v>46693</v>
      </c>
      <c r="E55" s="279">
        <v>5360</v>
      </c>
      <c r="F55" s="279">
        <v>6490</v>
      </c>
      <c r="G55" s="279">
        <v>6160</v>
      </c>
      <c r="H55" s="279">
        <v>6885</v>
      </c>
      <c r="I55" s="279">
        <v>7396</v>
      </c>
      <c r="J55" s="280">
        <v>6653</v>
      </c>
      <c r="K55" s="309">
        <v>7749</v>
      </c>
      <c r="L55" s="279"/>
      <c r="M55" s="13"/>
      <c r="N55" s="13"/>
      <c r="O55" s="13"/>
      <c r="P55" s="13"/>
      <c r="Q55" s="13">
        <f t="shared" si="2"/>
        <v>46693</v>
      </c>
      <c r="R55" s="113"/>
      <c r="S55" s="23">
        <f t="shared" si="3"/>
        <v>0</v>
      </c>
    </row>
    <row r="56" spans="2:19" s="115" customFormat="1">
      <c r="B56" s="299">
        <v>50</v>
      </c>
      <c r="C56" s="132" t="s">
        <v>24</v>
      </c>
      <c r="D56" s="128">
        <f t="shared" si="1"/>
        <v>182530</v>
      </c>
      <c r="E56" s="279">
        <v>20226</v>
      </c>
      <c r="F56" s="279">
        <v>25719</v>
      </c>
      <c r="G56" s="279">
        <v>23371</v>
      </c>
      <c r="H56" s="279">
        <v>25933</v>
      </c>
      <c r="I56" s="279">
        <v>28618</v>
      </c>
      <c r="J56" s="280">
        <v>27479</v>
      </c>
      <c r="K56" s="309">
        <v>31184</v>
      </c>
      <c r="L56" s="279"/>
      <c r="M56" s="13"/>
      <c r="N56" s="13"/>
      <c r="O56" s="13"/>
      <c r="P56" s="13"/>
      <c r="Q56" s="13">
        <f t="shared" si="2"/>
        <v>182530</v>
      </c>
      <c r="R56" s="113"/>
      <c r="S56" s="23">
        <f t="shared" si="3"/>
        <v>0</v>
      </c>
    </row>
    <row r="57" spans="2:19" s="115" customFormat="1">
      <c r="B57" s="299">
        <v>51</v>
      </c>
      <c r="C57" s="129" t="s">
        <v>218</v>
      </c>
      <c r="D57" s="130">
        <f>+Q57</f>
        <v>149412</v>
      </c>
      <c r="E57" s="279">
        <v>15807</v>
      </c>
      <c r="F57" s="279">
        <v>19518</v>
      </c>
      <c r="G57" s="279">
        <v>19208</v>
      </c>
      <c r="H57" s="279">
        <v>19208</v>
      </c>
      <c r="I57" s="279">
        <v>24973</v>
      </c>
      <c r="J57" s="280">
        <v>22336</v>
      </c>
      <c r="K57" s="309">
        <v>28362</v>
      </c>
      <c r="L57" s="279"/>
      <c r="M57" s="13"/>
      <c r="N57" s="13"/>
      <c r="O57" s="13"/>
      <c r="P57" s="13"/>
      <c r="Q57" s="13">
        <f t="shared" si="2"/>
        <v>149412</v>
      </c>
      <c r="R57" s="113"/>
      <c r="S57" s="23">
        <f t="shared" si="3"/>
        <v>0</v>
      </c>
    </row>
    <row r="58" spans="2:19" s="115" customFormat="1">
      <c r="B58" s="299">
        <v>52</v>
      </c>
      <c r="C58" s="132" t="s">
        <v>60</v>
      </c>
      <c r="D58" s="128">
        <f t="shared" si="1"/>
        <v>220994</v>
      </c>
      <c r="E58" s="279">
        <v>29382</v>
      </c>
      <c r="F58" s="279">
        <v>29557</v>
      </c>
      <c r="G58" s="279">
        <v>28566</v>
      </c>
      <c r="H58" s="279">
        <v>33185</v>
      </c>
      <c r="I58" s="279">
        <v>31306</v>
      </c>
      <c r="J58" s="280">
        <v>31972</v>
      </c>
      <c r="K58" s="309">
        <v>37026</v>
      </c>
      <c r="L58" s="279"/>
      <c r="M58" s="13"/>
      <c r="N58" s="13"/>
      <c r="O58" s="13"/>
      <c r="P58" s="13"/>
      <c r="Q58" s="13">
        <f t="shared" si="2"/>
        <v>220994</v>
      </c>
      <c r="R58" s="113"/>
      <c r="S58" s="23">
        <f t="shared" si="3"/>
        <v>0</v>
      </c>
    </row>
    <row r="59" spans="2:19" s="115" customFormat="1">
      <c r="B59" s="299">
        <v>53</v>
      </c>
      <c r="C59" s="129" t="s">
        <v>26</v>
      </c>
      <c r="D59" s="130">
        <f t="shared" si="1"/>
        <v>274174</v>
      </c>
      <c r="E59" s="279">
        <v>31121</v>
      </c>
      <c r="F59" s="279">
        <v>36240</v>
      </c>
      <c r="G59" s="279">
        <v>35214</v>
      </c>
      <c r="H59" s="279">
        <v>38033</v>
      </c>
      <c r="I59" s="279">
        <v>42962</v>
      </c>
      <c r="J59" s="280">
        <v>41923</v>
      </c>
      <c r="K59" s="309">
        <v>48681</v>
      </c>
      <c r="L59" s="279"/>
      <c r="M59" s="13"/>
      <c r="N59" s="13"/>
      <c r="O59" s="13"/>
      <c r="P59" s="13"/>
      <c r="Q59" s="13">
        <f t="shared" si="2"/>
        <v>274174</v>
      </c>
      <c r="R59" s="113"/>
      <c r="S59" s="23">
        <f t="shared" si="3"/>
        <v>0</v>
      </c>
    </row>
    <row r="60" spans="2:19" s="115" customFormat="1">
      <c r="B60" s="299">
        <v>54</v>
      </c>
      <c r="C60" s="129" t="s">
        <v>229</v>
      </c>
      <c r="D60" s="130">
        <f t="shared" si="1"/>
        <v>185570</v>
      </c>
      <c r="E60" s="279">
        <v>20789</v>
      </c>
      <c r="F60" s="279">
        <v>25461</v>
      </c>
      <c r="G60" s="279">
        <v>24765</v>
      </c>
      <c r="H60" s="279">
        <v>25520</v>
      </c>
      <c r="I60" s="279">
        <v>28812</v>
      </c>
      <c r="J60" s="280">
        <v>26916</v>
      </c>
      <c r="K60" s="309">
        <v>33307</v>
      </c>
      <c r="L60" s="279"/>
      <c r="M60" s="13"/>
      <c r="N60" s="13"/>
      <c r="O60" s="13"/>
      <c r="P60" s="13"/>
      <c r="Q60" s="13">
        <f t="shared" si="2"/>
        <v>185570</v>
      </c>
      <c r="R60" s="113"/>
      <c r="S60" s="23">
        <f t="shared" si="3"/>
        <v>0</v>
      </c>
    </row>
    <row r="61" spans="2:19" s="115" customFormat="1">
      <c r="B61" s="299">
        <v>55</v>
      </c>
      <c r="C61" s="132" t="s">
        <v>27</v>
      </c>
      <c r="D61" s="128">
        <f t="shared" si="1"/>
        <v>158790</v>
      </c>
      <c r="E61" s="279">
        <v>18592</v>
      </c>
      <c r="F61" s="279">
        <v>22964</v>
      </c>
      <c r="G61" s="279">
        <v>20940</v>
      </c>
      <c r="H61" s="279">
        <v>23373</v>
      </c>
      <c r="I61" s="279">
        <v>26247</v>
      </c>
      <c r="J61" s="280">
        <v>21300</v>
      </c>
      <c r="K61" s="309">
        <v>25374</v>
      </c>
      <c r="L61" s="279"/>
      <c r="M61" s="13"/>
      <c r="N61" s="13"/>
      <c r="O61" s="13"/>
      <c r="P61" s="13"/>
      <c r="Q61" s="13">
        <f t="shared" si="2"/>
        <v>158790</v>
      </c>
      <c r="R61" s="113"/>
      <c r="S61" s="23">
        <f t="shared" si="3"/>
        <v>0</v>
      </c>
    </row>
    <row r="62" spans="2:19" s="115" customFormat="1">
      <c r="B62" s="299">
        <v>56</v>
      </c>
      <c r="C62" s="129" t="s">
        <v>166</v>
      </c>
      <c r="D62" s="130">
        <f t="shared" si="1"/>
        <v>49708</v>
      </c>
      <c r="E62" s="279">
        <v>2000</v>
      </c>
      <c r="F62" s="279">
        <v>5310</v>
      </c>
      <c r="G62" s="279">
        <v>7600</v>
      </c>
      <c r="H62" s="279">
        <v>9198</v>
      </c>
      <c r="I62" s="279">
        <v>8400</v>
      </c>
      <c r="J62" s="280">
        <v>8000</v>
      </c>
      <c r="K62" s="309">
        <v>9200</v>
      </c>
      <c r="L62" s="279"/>
      <c r="M62" s="13"/>
      <c r="N62" s="13"/>
      <c r="O62" s="13"/>
      <c r="P62" s="13"/>
      <c r="Q62" s="13">
        <f t="shared" si="2"/>
        <v>49708</v>
      </c>
      <c r="R62" s="113"/>
      <c r="S62" s="23">
        <f t="shared" si="3"/>
        <v>0</v>
      </c>
    </row>
    <row r="63" spans="2:19" s="115" customFormat="1">
      <c r="B63" s="299">
        <v>57</v>
      </c>
      <c r="C63" s="132" t="s">
        <v>35</v>
      </c>
      <c r="D63" s="128">
        <f t="shared" si="1"/>
        <v>111927</v>
      </c>
      <c r="E63" s="279">
        <v>13461</v>
      </c>
      <c r="F63" s="279">
        <v>15786</v>
      </c>
      <c r="G63" s="279">
        <v>15189</v>
      </c>
      <c r="H63" s="279">
        <v>13346</v>
      </c>
      <c r="I63" s="279">
        <v>17996</v>
      </c>
      <c r="J63" s="280">
        <v>16884</v>
      </c>
      <c r="K63" s="309">
        <v>19265</v>
      </c>
      <c r="L63" s="279"/>
      <c r="M63" s="13"/>
      <c r="N63" s="13"/>
      <c r="O63" s="13"/>
      <c r="P63" s="13"/>
      <c r="Q63" s="13">
        <f t="shared" si="2"/>
        <v>111927</v>
      </c>
      <c r="R63" s="113"/>
      <c r="S63" s="23">
        <f t="shared" si="3"/>
        <v>0</v>
      </c>
    </row>
    <row r="64" spans="2:19" s="115" customFormat="1">
      <c r="B64" s="299">
        <v>58</v>
      </c>
      <c r="C64" s="129" t="s">
        <v>44</v>
      </c>
      <c r="D64" s="130">
        <f t="shared" si="1"/>
        <v>61699</v>
      </c>
      <c r="E64" s="279">
        <v>7303</v>
      </c>
      <c r="F64" s="279">
        <v>8804</v>
      </c>
      <c r="G64" s="279">
        <v>8214</v>
      </c>
      <c r="H64" s="279">
        <v>7934</v>
      </c>
      <c r="I64" s="279">
        <v>8691</v>
      </c>
      <c r="J64" s="280">
        <v>9769</v>
      </c>
      <c r="K64" s="309">
        <v>10984</v>
      </c>
      <c r="L64" s="279"/>
      <c r="M64" s="13"/>
      <c r="N64" s="13"/>
      <c r="O64" s="13"/>
      <c r="P64" s="13"/>
      <c r="Q64" s="13">
        <f t="shared" si="2"/>
        <v>61699</v>
      </c>
      <c r="R64" s="113"/>
      <c r="S64" s="23">
        <f t="shared" si="3"/>
        <v>0</v>
      </c>
    </row>
    <row r="65" spans="2:19" s="115" customFormat="1">
      <c r="B65" s="299">
        <v>59</v>
      </c>
      <c r="C65" s="132" t="s">
        <v>61</v>
      </c>
      <c r="D65" s="128">
        <f t="shared" si="1"/>
        <v>148484</v>
      </c>
      <c r="E65" s="279">
        <v>17591</v>
      </c>
      <c r="F65" s="279">
        <v>20923</v>
      </c>
      <c r="G65" s="279">
        <v>20274</v>
      </c>
      <c r="H65" s="279">
        <v>23882</v>
      </c>
      <c r="I65" s="279">
        <v>24871</v>
      </c>
      <c r="J65" s="280">
        <v>22038</v>
      </c>
      <c r="K65" s="309">
        <v>18905</v>
      </c>
      <c r="L65" s="279"/>
      <c r="M65" s="13"/>
      <c r="N65" s="13"/>
      <c r="O65" s="13"/>
      <c r="P65" s="13"/>
      <c r="Q65" s="13">
        <f t="shared" si="2"/>
        <v>148484</v>
      </c>
      <c r="R65" s="113"/>
      <c r="S65" s="23">
        <f t="shared" si="3"/>
        <v>0</v>
      </c>
    </row>
    <row r="66" spans="2:19" s="115" customFormat="1">
      <c r="B66" s="299">
        <v>60</v>
      </c>
      <c r="C66" s="129" t="s">
        <v>41</v>
      </c>
      <c r="D66" s="130">
        <f t="shared" si="1"/>
        <v>96860</v>
      </c>
      <c r="E66" s="279">
        <v>10520</v>
      </c>
      <c r="F66" s="279">
        <v>13815</v>
      </c>
      <c r="G66" s="279">
        <v>12895</v>
      </c>
      <c r="H66" s="279">
        <v>14545</v>
      </c>
      <c r="I66" s="279">
        <v>15635</v>
      </c>
      <c r="J66" s="280">
        <v>13730</v>
      </c>
      <c r="K66" s="309">
        <v>15720</v>
      </c>
      <c r="L66" s="279"/>
      <c r="M66" s="13"/>
      <c r="N66" s="13"/>
      <c r="O66" s="13"/>
      <c r="P66" s="13"/>
      <c r="Q66" s="13">
        <f t="shared" si="2"/>
        <v>96860</v>
      </c>
      <c r="R66" s="113"/>
      <c r="S66" s="23">
        <f t="shared" si="3"/>
        <v>0</v>
      </c>
    </row>
    <row r="67" spans="2:19" s="115" customFormat="1">
      <c r="B67" s="299">
        <v>61</v>
      </c>
      <c r="C67" s="132" t="s">
        <v>30</v>
      </c>
      <c r="D67" s="128">
        <f t="shared" si="1"/>
        <v>195218</v>
      </c>
      <c r="E67" s="279">
        <v>22633</v>
      </c>
      <c r="F67" s="279">
        <v>25905</v>
      </c>
      <c r="G67" s="279">
        <v>21402</v>
      </c>
      <c r="H67" s="279">
        <v>26845</v>
      </c>
      <c r="I67" s="279">
        <v>38471</v>
      </c>
      <c r="J67" s="280">
        <v>28424</v>
      </c>
      <c r="K67" s="309">
        <v>31538</v>
      </c>
      <c r="L67" s="279"/>
      <c r="M67" s="13"/>
      <c r="N67" s="13"/>
      <c r="O67" s="13"/>
      <c r="P67" s="13"/>
      <c r="Q67" s="13">
        <f t="shared" si="2"/>
        <v>195218</v>
      </c>
      <c r="R67" s="113"/>
      <c r="S67" s="23">
        <f t="shared" si="3"/>
        <v>0</v>
      </c>
    </row>
    <row r="68" spans="2:19" s="115" customFormat="1">
      <c r="B68" s="299">
        <v>62</v>
      </c>
      <c r="C68" s="132" t="s">
        <v>232</v>
      </c>
      <c r="D68" s="128">
        <f>+Q68</f>
        <v>0</v>
      </c>
      <c r="E68" s="279">
        <v>0</v>
      </c>
      <c r="F68" s="279"/>
      <c r="G68" s="279"/>
      <c r="H68" s="279"/>
      <c r="I68" s="279"/>
      <c r="J68" s="281">
        <v>0</v>
      </c>
      <c r="K68" s="311"/>
      <c r="L68" s="288"/>
      <c r="M68" s="14"/>
      <c r="N68" s="14"/>
      <c r="O68" s="14"/>
      <c r="P68" s="13"/>
      <c r="Q68" s="13">
        <f t="shared" si="2"/>
        <v>0</v>
      </c>
      <c r="R68" s="113"/>
      <c r="S68" s="23"/>
    </row>
    <row r="69" spans="2:19" s="115" customFormat="1">
      <c r="B69" s="299">
        <v>63</v>
      </c>
      <c r="C69" s="129" t="s">
        <v>28</v>
      </c>
      <c r="D69" s="130">
        <f t="shared" si="1"/>
        <v>204548</v>
      </c>
      <c r="E69" s="279">
        <v>25029</v>
      </c>
      <c r="F69" s="279">
        <v>24222</v>
      </c>
      <c r="G69" s="279">
        <v>27542</v>
      </c>
      <c r="H69" s="279">
        <v>29563</v>
      </c>
      <c r="I69" s="279">
        <v>33691</v>
      </c>
      <c r="J69" s="280">
        <v>28921</v>
      </c>
      <c r="K69" s="309">
        <v>35580</v>
      </c>
      <c r="L69" s="279"/>
      <c r="M69" s="13"/>
      <c r="N69" s="13"/>
      <c r="O69" s="13"/>
      <c r="P69" s="13"/>
      <c r="Q69" s="13">
        <f t="shared" si="2"/>
        <v>204548</v>
      </c>
      <c r="R69" s="113"/>
      <c r="S69" s="23">
        <f t="shared" si="3"/>
        <v>0</v>
      </c>
    </row>
    <row r="70" spans="2:19" s="115" customFormat="1">
      <c r="B70" s="299">
        <v>64</v>
      </c>
      <c r="C70" s="132" t="s">
        <v>184</v>
      </c>
      <c r="D70" s="128">
        <f t="shared" si="1"/>
        <v>144834</v>
      </c>
      <c r="E70" s="279">
        <v>15192</v>
      </c>
      <c r="F70" s="279">
        <v>21429</v>
      </c>
      <c r="G70" s="279">
        <v>20220</v>
      </c>
      <c r="H70" s="279">
        <v>20566</v>
      </c>
      <c r="I70" s="279">
        <v>21979</v>
      </c>
      <c r="J70" s="280">
        <v>20376</v>
      </c>
      <c r="K70" s="309">
        <v>25072</v>
      </c>
      <c r="L70" s="279"/>
      <c r="M70" s="13"/>
      <c r="N70" s="13"/>
      <c r="O70" s="13"/>
      <c r="P70" s="13"/>
      <c r="Q70" s="13">
        <f t="shared" si="2"/>
        <v>144834</v>
      </c>
      <c r="R70" s="113"/>
      <c r="S70" s="23">
        <f t="shared" si="3"/>
        <v>0</v>
      </c>
    </row>
    <row r="71" spans="2:19" s="115" customFormat="1">
      <c r="B71" s="299">
        <v>65</v>
      </c>
      <c r="C71" s="129" t="s">
        <v>34</v>
      </c>
      <c r="D71" s="130">
        <f t="shared" si="1"/>
        <v>274221</v>
      </c>
      <c r="E71" s="279">
        <v>27334</v>
      </c>
      <c r="F71" s="279">
        <v>32443</v>
      </c>
      <c r="G71" s="279">
        <v>32035</v>
      </c>
      <c r="H71" s="279">
        <v>34945</v>
      </c>
      <c r="I71" s="279">
        <v>38437</v>
      </c>
      <c r="J71" s="289">
        <v>47202</v>
      </c>
      <c r="K71" s="312">
        <v>61825</v>
      </c>
      <c r="L71" s="290"/>
      <c r="M71" s="13"/>
      <c r="N71" s="13"/>
      <c r="O71" s="13"/>
      <c r="P71" s="13"/>
      <c r="Q71" s="13">
        <f t="shared" si="2"/>
        <v>274221</v>
      </c>
      <c r="R71" s="113"/>
      <c r="S71" s="23">
        <f t="shared" si="3"/>
        <v>0</v>
      </c>
    </row>
    <row r="72" spans="2:19" s="115" customFormat="1">
      <c r="B72" s="299">
        <v>66</v>
      </c>
      <c r="C72" s="132" t="s">
        <v>29</v>
      </c>
      <c r="D72" s="128">
        <f t="shared" si="1"/>
        <v>262420</v>
      </c>
      <c r="E72" s="279">
        <v>30614</v>
      </c>
      <c r="F72" s="279">
        <v>37404</v>
      </c>
      <c r="G72" s="279">
        <v>34609</v>
      </c>
      <c r="H72" s="279">
        <v>38898</v>
      </c>
      <c r="I72" s="279">
        <v>41182</v>
      </c>
      <c r="J72" s="280">
        <v>37498</v>
      </c>
      <c r="K72" s="309">
        <v>42215</v>
      </c>
      <c r="L72" s="279"/>
      <c r="M72" s="13"/>
      <c r="N72" s="13"/>
      <c r="O72" s="13"/>
      <c r="P72" s="13"/>
      <c r="Q72" s="13">
        <f t="shared" ref="Q72:Q95" si="5">SUM(E72:P72)</f>
        <v>262420</v>
      </c>
      <c r="R72" s="113"/>
      <c r="S72" s="23">
        <f t="shared" si="3"/>
        <v>0</v>
      </c>
    </row>
    <row r="73" spans="2:19" s="115" customFormat="1">
      <c r="B73" s="299">
        <v>67</v>
      </c>
      <c r="C73" s="129" t="s">
        <v>38</v>
      </c>
      <c r="D73" s="130">
        <f t="shared" si="1"/>
        <v>259083</v>
      </c>
      <c r="E73" s="279">
        <v>26860</v>
      </c>
      <c r="F73" s="279">
        <v>32304</v>
      </c>
      <c r="G73" s="279">
        <v>35850</v>
      </c>
      <c r="H73" s="279">
        <v>39597</v>
      </c>
      <c r="I73" s="279">
        <v>39058</v>
      </c>
      <c r="J73" s="280">
        <v>39082</v>
      </c>
      <c r="K73" s="309">
        <v>46332</v>
      </c>
      <c r="L73" s="279"/>
      <c r="M73" s="13"/>
      <c r="N73" s="13"/>
      <c r="O73" s="13"/>
      <c r="P73" s="13"/>
      <c r="Q73" s="13">
        <f t="shared" si="5"/>
        <v>259083</v>
      </c>
      <c r="R73" s="113"/>
      <c r="S73" s="23">
        <f t="shared" ref="S73:S93" si="6">+Q73*R73</f>
        <v>0</v>
      </c>
    </row>
    <row r="74" spans="2:19" s="115" customFormat="1">
      <c r="B74" s="299">
        <v>68</v>
      </c>
      <c r="C74" s="132" t="s">
        <v>167</v>
      </c>
      <c r="D74" s="128">
        <f>Q74</f>
        <v>17621</v>
      </c>
      <c r="E74" s="279"/>
      <c r="F74" s="279"/>
      <c r="G74" s="279">
        <v>7607</v>
      </c>
      <c r="H74" s="279">
        <v>6702</v>
      </c>
      <c r="I74" s="279">
        <v>3312</v>
      </c>
      <c r="J74" s="280">
        <v>0</v>
      </c>
      <c r="K74" s="309"/>
      <c r="L74" s="279"/>
      <c r="M74" s="13"/>
      <c r="N74" s="13"/>
      <c r="O74" s="13"/>
      <c r="P74" s="13"/>
      <c r="Q74" s="13">
        <f t="shared" si="5"/>
        <v>17621</v>
      </c>
      <c r="R74" s="113"/>
      <c r="S74" s="23">
        <f t="shared" si="6"/>
        <v>0</v>
      </c>
    </row>
    <row r="75" spans="2:19" s="115" customFormat="1">
      <c r="B75" s="299">
        <v>69</v>
      </c>
      <c r="C75" s="129" t="s">
        <v>40</v>
      </c>
      <c r="D75" s="130">
        <f>+Q75</f>
        <v>344389</v>
      </c>
      <c r="E75" s="279">
        <v>40792</v>
      </c>
      <c r="F75" s="279">
        <v>46887</v>
      </c>
      <c r="G75" s="279">
        <v>47471</v>
      </c>
      <c r="H75" s="279">
        <v>50496</v>
      </c>
      <c r="I75" s="279">
        <v>53671</v>
      </c>
      <c r="J75" s="280">
        <v>47760</v>
      </c>
      <c r="K75" s="309">
        <v>57312</v>
      </c>
      <c r="L75" s="279"/>
      <c r="M75" s="13"/>
      <c r="N75" s="13"/>
      <c r="O75" s="13"/>
      <c r="P75" s="13"/>
      <c r="Q75" s="13">
        <f t="shared" si="5"/>
        <v>344389</v>
      </c>
      <c r="R75" s="113"/>
      <c r="S75" s="23">
        <f t="shared" si="6"/>
        <v>0</v>
      </c>
    </row>
    <row r="76" spans="2:19" s="115" customFormat="1">
      <c r="B76" s="299">
        <v>70</v>
      </c>
      <c r="C76" s="132" t="s">
        <v>225</v>
      </c>
      <c r="D76" s="128">
        <f>+Q76</f>
        <v>608366</v>
      </c>
      <c r="E76" s="279">
        <v>42733</v>
      </c>
      <c r="F76" s="279">
        <v>47407</v>
      </c>
      <c r="G76" s="279">
        <v>43475</v>
      </c>
      <c r="H76" s="279">
        <v>74584</v>
      </c>
      <c r="I76" s="279">
        <v>148395</v>
      </c>
      <c r="J76" s="280">
        <v>132773</v>
      </c>
      <c r="K76" s="309">
        <v>118999</v>
      </c>
      <c r="L76" s="279"/>
      <c r="M76" s="13"/>
      <c r="N76" s="13"/>
      <c r="O76" s="13"/>
      <c r="P76" s="13"/>
      <c r="Q76" s="13">
        <f t="shared" si="5"/>
        <v>608366</v>
      </c>
      <c r="R76" s="113"/>
      <c r="S76" s="23">
        <f t="shared" si="6"/>
        <v>0</v>
      </c>
    </row>
    <row r="77" spans="2:19" s="115" customFormat="1">
      <c r="B77" s="299">
        <v>71</v>
      </c>
      <c r="C77" s="132" t="s">
        <v>143</v>
      </c>
      <c r="D77" s="128">
        <f t="shared" si="1"/>
        <v>179603</v>
      </c>
      <c r="E77" s="279">
        <v>21907</v>
      </c>
      <c r="F77" s="279">
        <v>25175</v>
      </c>
      <c r="G77" s="279">
        <v>23087</v>
      </c>
      <c r="H77" s="279">
        <v>26469</v>
      </c>
      <c r="I77" s="279">
        <v>28649</v>
      </c>
      <c r="J77" s="280">
        <v>25263</v>
      </c>
      <c r="K77" s="309">
        <v>29053</v>
      </c>
      <c r="L77" s="279"/>
      <c r="M77" s="13"/>
      <c r="N77" s="13"/>
      <c r="O77" s="13"/>
      <c r="P77" s="13"/>
      <c r="Q77" s="13">
        <f t="shared" si="5"/>
        <v>179603</v>
      </c>
      <c r="R77" s="113"/>
      <c r="S77" s="23">
        <f t="shared" si="6"/>
        <v>0</v>
      </c>
    </row>
    <row r="78" spans="2:19" s="115" customFormat="1">
      <c r="B78" s="299">
        <v>72</v>
      </c>
      <c r="C78" s="129" t="s">
        <v>31</v>
      </c>
      <c r="D78" s="130">
        <f t="shared" si="1"/>
        <v>241643</v>
      </c>
      <c r="E78" s="279">
        <v>30585</v>
      </c>
      <c r="F78" s="279">
        <v>37511</v>
      </c>
      <c r="G78" s="279">
        <v>31573</v>
      </c>
      <c r="H78" s="279">
        <v>24887</v>
      </c>
      <c r="I78" s="279">
        <v>44157</v>
      </c>
      <c r="J78" s="280">
        <v>30032</v>
      </c>
      <c r="K78" s="309">
        <v>42898</v>
      </c>
      <c r="L78" s="279"/>
      <c r="M78" s="13"/>
      <c r="N78" s="13"/>
      <c r="O78" s="13"/>
      <c r="P78" s="13"/>
      <c r="Q78" s="13">
        <f t="shared" si="5"/>
        <v>241643</v>
      </c>
      <c r="R78" s="113"/>
      <c r="S78" s="23">
        <f t="shared" si="6"/>
        <v>0</v>
      </c>
    </row>
    <row r="79" spans="2:19" s="115" customFormat="1">
      <c r="B79" s="299">
        <v>73</v>
      </c>
      <c r="C79" s="132" t="s">
        <v>32</v>
      </c>
      <c r="D79" s="128">
        <f t="shared" si="1"/>
        <v>152607</v>
      </c>
      <c r="E79" s="279">
        <v>17983</v>
      </c>
      <c r="F79" s="279">
        <v>22207</v>
      </c>
      <c r="G79" s="279">
        <v>21803</v>
      </c>
      <c r="H79" s="279">
        <v>19563</v>
      </c>
      <c r="I79" s="279">
        <v>23180</v>
      </c>
      <c r="J79" s="280">
        <v>21546</v>
      </c>
      <c r="K79" s="309">
        <v>26325</v>
      </c>
      <c r="L79" s="279"/>
      <c r="M79" s="13"/>
      <c r="N79" s="13"/>
      <c r="O79" s="13"/>
      <c r="P79" s="13"/>
      <c r="Q79" s="13">
        <f t="shared" si="5"/>
        <v>152607</v>
      </c>
      <c r="R79" s="113"/>
      <c r="S79" s="23">
        <f t="shared" si="6"/>
        <v>0</v>
      </c>
    </row>
    <row r="80" spans="2:19" s="115" customFormat="1">
      <c r="B80" s="299">
        <v>74</v>
      </c>
      <c r="C80" s="129" t="s">
        <v>33</v>
      </c>
      <c r="D80" s="130">
        <f t="shared" si="1"/>
        <v>217506</v>
      </c>
      <c r="E80" s="279">
        <v>20517</v>
      </c>
      <c r="F80" s="279">
        <v>29808</v>
      </c>
      <c r="G80" s="279">
        <v>26796</v>
      </c>
      <c r="H80" s="279">
        <v>33788</v>
      </c>
      <c r="I80" s="279">
        <v>31361</v>
      </c>
      <c r="J80" s="280">
        <v>36021</v>
      </c>
      <c r="K80" s="309">
        <v>39215</v>
      </c>
      <c r="L80" s="279"/>
      <c r="M80" s="13"/>
      <c r="N80" s="13"/>
      <c r="O80" s="13"/>
      <c r="P80" s="13"/>
      <c r="Q80" s="13">
        <f t="shared" si="5"/>
        <v>217506</v>
      </c>
      <c r="R80" s="113"/>
      <c r="S80" s="23">
        <f t="shared" si="6"/>
        <v>0</v>
      </c>
    </row>
    <row r="81" spans="2:19" s="115" customFormat="1">
      <c r="B81" s="299">
        <v>75</v>
      </c>
      <c r="C81" s="132" t="s">
        <v>222</v>
      </c>
      <c r="D81" s="128">
        <f t="shared" si="1"/>
        <v>250491</v>
      </c>
      <c r="E81" s="279">
        <v>28177</v>
      </c>
      <c r="F81" s="279">
        <v>33970</v>
      </c>
      <c r="G81" s="279">
        <v>34130</v>
      </c>
      <c r="H81" s="279">
        <v>40050</v>
      </c>
      <c r="I81" s="279">
        <v>38381</v>
      </c>
      <c r="J81" s="280">
        <v>34919</v>
      </c>
      <c r="K81" s="309">
        <v>40864</v>
      </c>
      <c r="L81" s="279"/>
      <c r="M81" s="13"/>
      <c r="N81" s="13"/>
      <c r="O81" s="13"/>
      <c r="P81" s="13"/>
      <c r="Q81" s="13">
        <f t="shared" si="5"/>
        <v>250491</v>
      </c>
      <c r="R81" s="113"/>
      <c r="S81" s="23">
        <f t="shared" si="6"/>
        <v>0</v>
      </c>
    </row>
    <row r="82" spans="2:19" s="115" customFormat="1">
      <c r="B82" s="299">
        <v>76</v>
      </c>
      <c r="C82" s="129" t="s">
        <v>148</v>
      </c>
      <c r="D82" s="130">
        <f t="shared" si="1"/>
        <v>206107</v>
      </c>
      <c r="E82" s="279">
        <v>24145</v>
      </c>
      <c r="F82" s="279">
        <v>28533</v>
      </c>
      <c r="G82" s="279">
        <v>26752</v>
      </c>
      <c r="H82" s="279">
        <v>30090</v>
      </c>
      <c r="I82" s="279">
        <v>31455</v>
      </c>
      <c r="J82" s="280">
        <v>28849</v>
      </c>
      <c r="K82" s="309">
        <v>36283</v>
      </c>
      <c r="L82" s="279"/>
      <c r="M82" s="13"/>
      <c r="N82" s="13"/>
      <c r="O82" s="13"/>
      <c r="P82" s="13"/>
      <c r="Q82" s="13">
        <f t="shared" si="5"/>
        <v>206107</v>
      </c>
      <c r="R82" s="113"/>
      <c r="S82" s="23">
        <f t="shared" si="6"/>
        <v>0</v>
      </c>
    </row>
    <row r="83" spans="2:19" s="115" customFormat="1">
      <c r="B83" s="299">
        <v>77</v>
      </c>
      <c r="C83" s="132" t="s">
        <v>39</v>
      </c>
      <c r="D83" s="128">
        <f t="shared" si="1"/>
        <v>160628</v>
      </c>
      <c r="E83" s="279">
        <v>21945</v>
      </c>
      <c r="F83" s="279">
        <v>22761</v>
      </c>
      <c r="G83" s="279">
        <v>20978</v>
      </c>
      <c r="H83" s="279">
        <v>18932</v>
      </c>
      <c r="I83" s="279">
        <v>21781</v>
      </c>
      <c r="J83" s="280">
        <v>22696</v>
      </c>
      <c r="K83" s="309">
        <v>31535</v>
      </c>
      <c r="L83" s="279"/>
      <c r="M83" s="13"/>
      <c r="N83" s="13"/>
      <c r="O83" s="13"/>
      <c r="P83" s="13"/>
      <c r="Q83" s="13">
        <f t="shared" si="5"/>
        <v>160628</v>
      </c>
      <c r="R83" s="113"/>
      <c r="S83" s="23">
        <f t="shared" si="6"/>
        <v>0</v>
      </c>
    </row>
    <row r="84" spans="2:19" s="115" customFormat="1">
      <c r="B84" s="299">
        <v>78</v>
      </c>
      <c r="C84" s="129" t="s">
        <v>36</v>
      </c>
      <c r="D84" s="130">
        <f t="shared" si="1"/>
        <v>70515</v>
      </c>
      <c r="E84" s="279">
        <v>7493</v>
      </c>
      <c r="F84" s="279">
        <v>8953</v>
      </c>
      <c r="G84" s="279">
        <v>10008</v>
      </c>
      <c r="H84" s="279">
        <v>10821</v>
      </c>
      <c r="I84" s="279">
        <v>10867</v>
      </c>
      <c r="J84" s="280">
        <v>10254</v>
      </c>
      <c r="K84" s="309">
        <v>12119</v>
      </c>
      <c r="L84" s="279"/>
      <c r="M84" s="13"/>
      <c r="N84" s="13"/>
      <c r="O84" s="13"/>
      <c r="P84" s="13"/>
      <c r="Q84" s="13">
        <f t="shared" si="5"/>
        <v>70515</v>
      </c>
      <c r="R84" s="113"/>
      <c r="S84" s="23">
        <f t="shared" si="6"/>
        <v>0</v>
      </c>
    </row>
    <row r="85" spans="2:19" s="115" customFormat="1">
      <c r="B85" s="299">
        <v>79</v>
      </c>
      <c r="C85" s="132" t="s">
        <v>74</v>
      </c>
      <c r="D85" s="128">
        <f t="shared" si="1"/>
        <v>196820</v>
      </c>
      <c r="E85" s="279">
        <v>22955</v>
      </c>
      <c r="F85" s="279">
        <v>26624</v>
      </c>
      <c r="G85" s="279">
        <v>28418</v>
      </c>
      <c r="H85" s="279">
        <v>28801</v>
      </c>
      <c r="I85" s="279">
        <v>29597</v>
      </c>
      <c r="J85" s="280">
        <v>26822</v>
      </c>
      <c r="K85" s="309">
        <v>33603</v>
      </c>
      <c r="L85" s="279"/>
      <c r="M85" s="13"/>
      <c r="N85" s="13"/>
      <c r="O85" s="13"/>
      <c r="P85" s="13"/>
      <c r="Q85" s="13">
        <f t="shared" si="5"/>
        <v>196820</v>
      </c>
      <c r="R85" s="113"/>
      <c r="S85" s="23">
        <f t="shared" si="6"/>
        <v>0</v>
      </c>
    </row>
    <row r="86" spans="2:19" s="115" customFormat="1">
      <c r="B86" s="299">
        <v>80</v>
      </c>
      <c r="C86" s="129" t="s">
        <v>37</v>
      </c>
      <c r="D86" s="130">
        <f t="shared" si="1"/>
        <v>226728</v>
      </c>
      <c r="E86" s="279">
        <v>23179</v>
      </c>
      <c r="F86" s="279">
        <v>34612</v>
      </c>
      <c r="G86" s="279">
        <v>28431</v>
      </c>
      <c r="H86" s="279">
        <v>31473</v>
      </c>
      <c r="I86" s="279">
        <v>35627</v>
      </c>
      <c r="J86" s="280">
        <v>33425</v>
      </c>
      <c r="K86" s="309">
        <v>39981</v>
      </c>
      <c r="L86" s="279"/>
      <c r="M86" s="13"/>
      <c r="N86" s="13"/>
      <c r="O86" s="13"/>
      <c r="P86" s="13"/>
      <c r="Q86" s="13">
        <f t="shared" si="5"/>
        <v>226728</v>
      </c>
      <c r="R86" s="113"/>
      <c r="S86" s="23">
        <f t="shared" si="6"/>
        <v>0</v>
      </c>
    </row>
    <row r="87" spans="2:19" s="115" customFormat="1">
      <c r="B87" s="299">
        <v>81</v>
      </c>
      <c r="C87" s="132" t="s">
        <v>142</v>
      </c>
      <c r="D87" s="128">
        <f t="shared" si="1"/>
        <v>239182</v>
      </c>
      <c r="E87" s="279">
        <v>30664</v>
      </c>
      <c r="F87" s="279">
        <v>33291</v>
      </c>
      <c r="G87" s="279">
        <v>33255</v>
      </c>
      <c r="H87" s="279">
        <v>30989</v>
      </c>
      <c r="I87" s="279">
        <v>36250</v>
      </c>
      <c r="J87" s="280">
        <v>33056</v>
      </c>
      <c r="K87" s="309">
        <v>41677</v>
      </c>
      <c r="L87" s="279"/>
      <c r="M87" s="13"/>
      <c r="N87" s="13"/>
      <c r="O87" s="13"/>
      <c r="P87" s="13"/>
      <c r="Q87" s="13">
        <f t="shared" si="5"/>
        <v>239182</v>
      </c>
      <c r="R87" s="113"/>
      <c r="S87" s="23">
        <f t="shared" si="6"/>
        <v>0</v>
      </c>
    </row>
    <row r="88" spans="2:19" s="115" customFormat="1">
      <c r="B88" s="299">
        <v>82</v>
      </c>
      <c r="C88" s="129" t="s">
        <v>43</v>
      </c>
      <c r="D88" s="130">
        <f t="shared" si="1"/>
        <v>192508</v>
      </c>
      <c r="E88" s="279">
        <v>22253</v>
      </c>
      <c r="F88" s="279">
        <v>26791</v>
      </c>
      <c r="G88" s="279">
        <v>25836</v>
      </c>
      <c r="H88" s="279">
        <v>27950</v>
      </c>
      <c r="I88" s="279">
        <v>30477</v>
      </c>
      <c r="J88" s="281">
        <v>27455</v>
      </c>
      <c r="K88" s="311">
        <v>31746</v>
      </c>
      <c r="L88" s="288"/>
      <c r="M88" s="13"/>
      <c r="N88" s="13"/>
      <c r="O88" s="13"/>
      <c r="P88" s="13"/>
      <c r="Q88" s="13">
        <f t="shared" si="5"/>
        <v>192508</v>
      </c>
      <c r="R88" s="113"/>
      <c r="S88" s="23">
        <f t="shared" si="6"/>
        <v>0</v>
      </c>
    </row>
    <row r="89" spans="2:19" s="115" customFormat="1">
      <c r="B89" s="299">
        <v>83</v>
      </c>
      <c r="C89" s="129" t="s">
        <v>224</v>
      </c>
      <c r="D89" s="130">
        <f>+Q89</f>
        <v>116840</v>
      </c>
      <c r="E89" s="279">
        <v>9633</v>
      </c>
      <c r="F89" s="279">
        <v>16839</v>
      </c>
      <c r="G89" s="279">
        <v>15684</v>
      </c>
      <c r="H89" s="279">
        <v>17584</v>
      </c>
      <c r="I89" s="279">
        <v>18195</v>
      </c>
      <c r="J89" s="280">
        <v>18203</v>
      </c>
      <c r="K89" s="309">
        <v>20702</v>
      </c>
      <c r="L89" s="279"/>
      <c r="M89" s="13"/>
      <c r="N89" s="13"/>
      <c r="O89" s="13"/>
      <c r="P89" s="13"/>
      <c r="Q89" s="13">
        <f t="shared" si="5"/>
        <v>116840</v>
      </c>
      <c r="R89" s="113"/>
      <c r="S89" s="23">
        <f t="shared" si="6"/>
        <v>0</v>
      </c>
    </row>
    <row r="90" spans="2:19" s="115" customFormat="1">
      <c r="B90" s="299">
        <v>84</v>
      </c>
      <c r="C90" s="132" t="s">
        <v>226</v>
      </c>
      <c r="D90" s="128">
        <f t="shared" ref="D90:D92" si="7">+Q90</f>
        <v>80821</v>
      </c>
      <c r="E90" s="279">
        <v>11260</v>
      </c>
      <c r="F90" s="279">
        <v>12730</v>
      </c>
      <c r="G90" s="279">
        <v>10000</v>
      </c>
      <c r="H90" s="279">
        <v>11904</v>
      </c>
      <c r="I90" s="279">
        <v>11698</v>
      </c>
      <c r="J90" s="281">
        <v>11140</v>
      </c>
      <c r="K90" s="311">
        <v>12089</v>
      </c>
      <c r="L90" s="288"/>
      <c r="M90" s="13"/>
      <c r="N90" s="13"/>
      <c r="O90" s="13"/>
      <c r="P90" s="13"/>
      <c r="Q90" s="13">
        <f t="shared" ref="Q90:Q92" si="8">SUM(E90:P90)</f>
        <v>80821</v>
      </c>
      <c r="R90" s="113"/>
      <c r="S90" s="23"/>
    </row>
    <row r="91" spans="2:19" s="115" customFormat="1">
      <c r="B91" s="299">
        <v>85</v>
      </c>
      <c r="C91" s="132" t="s">
        <v>234</v>
      </c>
      <c r="D91" s="128">
        <f t="shared" si="7"/>
        <v>130252</v>
      </c>
      <c r="E91" s="279">
        <v>17288</v>
      </c>
      <c r="F91" s="279">
        <v>12865</v>
      </c>
      <c r="G91" s="279">
        <v>14220</v>
      </c>
      <c r="H91" s="279">
        <v>16619</v>
      </c>
      <c r="I91" s="279">
        <v>20137</v>
      </c>
      <c r="J91" s="281">
        <v>21871</v>
      </c>
      <c r="K91" s="311">
        <v>27252</v>
      </c>
      <c r="L91" s="288"/>
      <c r="M91" s="13"/>
      <c r="N91" s="13"/>
      <c r="O91" s="13"/>
      <c r="P91" s="13"/>
      <c r="Q91" s="13">
        <f t="shared" ref="Q91" si="9">SUM(E91:P91)</f>
        <v>130252</v>
      </c>
      <c r="R91" s="113"/>
      <c r="S91" s="23"/>
    </row>
    <row r="92" spans="2:19" s="115" customFormat="1">
      <c r="B92" s="299">
        <v>86</v>
      </c>
      <c r="C92" s="132" t="s">
        <v>233</v>
      </c>
      <c r="D92" s="128">
        <f t="shared" si="7"/>
        <v>49638</v>
      </c>
      <c r="E92" s="279">
        <v>8916</v>
      </c>
      <c r="F92" s="279">
        <v>6148</v>
      </c>
      <c r="G92" s="279">
        <v>5985</v>
      </c>
      <c r="H92" s="279">
        <v>6613</v>
      </c>
      <c r="I92" s="279">
        <v>7571</v>
      </c>
      <c r="J92" s="281">
        <v>7210</v>
      </c>
      <c r="K92" s="311">
        <v>7195</v>
      </c>
      <c r="L92" s="288"/>
      <c r="M92" s="13"/>
      <c r="N92" s="13"/>
      <c r="O92" s="13"/>
      <c r="P92" s="13"/>
      <c r="Q92" s="13">
        <f t="shared" si="8"/>
        <v>49638</v>
      </c>
      <c r="R92" s="113"/>
      <c r="S92" s="23"/>
    </row>
    <row r="93" spans="2:19" s="115" customFormat="1" ht="16.5" customHeight="1">
      <c r="B93" s="299">
        <v>87</v>
      </c>
      <c r="C93" s="132" t="s">
        <v>235</v>
      </c>
      <c r="D93" s="128">
        <f t="shared" si="1"/>
        <v>46954</v>
      </c>
      <c r="E93" s="279">
        <v>298</v>
      </c>
      <c r="F93" s="279">
        <v>5883</v>
      </c>
      <c r="G93" s="279">
        <v>5712</v>
      </c>
      <c r="H93" s="279">
        <v>8018</v>
      </c>
      <c r="I93" s="279">
        <v>8320</v>
      </c>
      <c r="J93" s="281">
        <v>8795</v>
      </c>
      <c r="K93" s="311">
        <v>9928</v>
      </c>
      <c r="L93" s="288"/>
      <c r="M93" s="13"/>
      <c r="N93" s="13"/>
      <c r="O93" s="13"/>
      <c r="P93" s="13"/>
      <c r="Q93" s="13">
        <f t="shared" si="5"/>
        <v>46954</v>
      </c>
      <c r="R93" s="113"/>
      <c r="S93" s="23">
        <f t="shared" si="6"/>
        <v>0</v>
      </c>
    </row>
    <row r="94" spans="2:19" s="115" customFormat="1">
      <c r="B94" s="299">
        <v>88</v>
      </c>
      <c r="C94" s="132" t="s">
        <v>236</v>
      </c>
      <c r="D94" s="128">
        <f t="shared" ref="D94:D102" si="10">+Q94</f>
        <v>81916</v>
      </c>
      <c r="E94" s="279"/>
      <c r="F94" s="279"/>
      <c r="G94" s="279"/>
      <c r="H94" s="279">
        <v>5815</v>
      </c>
      <c r="I94" s="279">
        <v>24523</v>
      </c>
      <c r="J94" s="281">
        <v>23359</v>
      </c>
      <c r="K94" s="311">
        <v>28219</v>
      </c>
      <c r="L94" s="288"/>
      <c r="M94" s="13"/>
      <c r="N94" s="13"/>
      <c r="O94" s="13"/>
      <c r="P94" s="13"/>
      <c r="Q94" s="13">
        <f t="shared" si="5"/>
        <v>81916</v>
      </c>
      <c r="R94" s="113"/>
      <c r="S94" s="23"/>
    </row>
    <row r="95" spans="2:19" s="115" customFormat="1">
      <c r="B95" s="299">
        <v>89</v>
      </c>
      <c r="C95" s="132" t="s">
        <v>238</v>
      </c>
      <c r="D95" s="128">
        <f t="shared" si="10"/>
        <v>67476</v>
      </c>
      <c r="E95" s="279"/>
      <c r="F95" s="279"/>
      <c r="G95" s="279"/>
      <c r="H95" s="279">
        <v>5148</v>
      </c>
      <c r="I95" s="279">
        <v>19167</v>
      </c>
      <c r="J95" s="281">
        <v>20073</v>
      </c>
      <c r="K95" s="311">
        <v>23088</v>
      </c>
      <c r="L95" s="288"/>
      <c r="M95" s="13"/>
      <c r="N95" s="13"/>
      <c r="O95" s="13"/>
      <c r="P95" s="13"/>
      <c r="Q95" s="13">
        <f t="shared" si="5"/>
        <v>67476</v>
      </c>
      <c r="R95" s="113"/>
      <c r="S95" s="23"/>
    </row>
    <row r="96" spans="2:19" s="115" customFormat="1">
      <c r="B96" s="299">
        <v>90</v>
      </c>
      <c r="C96" s="132" t="s">
        <v>237</v>
      </c>
      <c r="D96" s="128">
        <f t="shared" si="10"/>
        <v>69604</v>
      </c>
      <c r="E96" s="279"/>
      <c r="F96" s="279"/>
      <c r="G96" s="279"/>
      <c r="H96" s="279">
        <v>3020</v>
      </c>
      <c r="I96" s="279">
        <v>15344</v>
      </c>
      <c r="J96" s="281">
        <v>22948</v>
      </c>
      <c r="K96" s="311">
        <v>28292</v>
      </c>
      <c r="L96" s="288"/>
      <c r="M96" s="13"/>
      <c r="N96" s="13"/>
      <c r="O96" s="13"/>
      <c r="P96" s="13"/>
      <c r="Q96" s="13">
        <f t="shared" ref="Q96:Q104" si="11">SUM(E96:P96)</f>
        <v>69604</v>
      </c>
      <c r="R96" s="113"/>
      <c r="S96" s="23"/>
    </row>
    <row r="97" spans="2:23" s="115" customFormat="1">
      <c r="B97" s="299">
        <v>91</v>
      </c>
      <c r="C97" s="132" t="s">
        <v>239</v>
      </c>
      <c r="D97" s="128">
        <f t="shared" si="10"/>
        <v>49242</v>
      </c>
      <c r="E97" s="298"/>
      <c r="F97" s="177"/>
      <c r="G97" s="177"/>
      <c r="H97" s="177"/>
      <c r="I97" s="177"/>
      <c r="J97" s="281">
        <v>16832</v>
      </c>
      <c r="K97" s="176">
        <v>32410</v>
      </c>
      <c r="L97" s="177"/>
      <c r="M97" s="177"/>
      <c r="N97" s="177"/>
      <c r="O97" s="177"/>
      <c r="P97" s="177"/>
      <c r="Q97" s="13">
        <f t="shared" si="11"/>
        <v>49242</v>
      </c>
      <c r="R97" s="113"/>
      <c r="S97" s="282"/>
    </row>
    <row r="98" spans="2:23" s="115" customFormat="1">
      <c r="B98" s="299">
        <v>92</v>
      </c>
      <c r="C98" s="132" t="s">
        <v>240</v>
      </c>
      <c r="D98" s="128">
        <f t="shared" si="10"/>
        <v>69550</v>
      </c>
      <c r="E98" s="297"/>
      <c r="F98" s="177"/>
      <c r="G98" s="177"/>
      <c r="H98" s="177"/>
      <c r="I98" s="177"/>
      <c r="J98" s="281"/>
      <c r="K98" s="176">
        <v>69550</v>
      </c>
      <c r="L98" s="177"/>
      <c r="M98" s="177"/>
      <c r="N98" s="177"/>
      <c r="O98" s="177"/>
      <c r="P98" s="177"/>
      <c r="Q98" s="13">
        <f t="shared" si="11"/>
        <v>69550</v>
      </c>
      <c r="R98" s="113"/>
      <c r="S98" s="282"/>
    </row>
    <row r="99" spans="2:23" s="115" customFormat="1">
      <c r="B99" s="299">
        <v>93</v>
      </c>
      <c r="C99" s="132" t="s">
        <v>241</v>
      </c>
      <c r="D99" s="128">
        <f t="shared" si="10"/>
        <v>43870</v>
      </c>
      <c r="E99" s="298"/>
      <c r="F99" s="177"/>
      <c r="G99" s="177"/>
      <c r="H99" s="177"/>
      <c r="I99" s="177"/>
      <c r="J99" s="281"/>
      <c r="K99" s="176">
        <v>43870</v>
      </c>
      <c r="L99" s="177"/>
      <c r="M99" s="177"/>
      <c r="N99" s="177"/>
      <c r="O99" s="177"/>
      <c r="P99" s="177"/>
      <c r="Q99" s="13">
        <f t="shared" si="11"/>
        <v>43870</v>
      </c>
      <c r="R99" s="113"/>
      <c r="S99" s="282"/>
    </row>
    <row r="100" spans="2:23" s="115" customFormat="1">
      <c r="B100" s="299">
        <v>94</v>
      </c>
      <c r="C100" s="132" t="s">
        <v>242</v>
      </c>
      <c r="D100" s="128">
        <f t="shared" si="10"/>
        <v>16371</v>
      </c>
      <c r="E100" s="297"/>
      <c r="F100" s="177"/>
      <c r="G100" s="177"/>
      <c r="H100" s="177"/>
      <c r="I100" s="177"/>
      <c r="J100" s="281"/>
      <c r="K100" s="176">
        <v>16371</v>
      </c>
      <c r="L100" s="177"/>
      <c r="M100" s="177"/>
      <c r="N100" s="177"/>
      <c r="O100" s="177"/>
      <c r="P100" s="177"/>
      <c r="Q100" s="13">
        <f t="shared" si="11"/>
        <v>16371</v>
      </c>
      <c r="R100" s="113"/>
      <c r="S100" s="282"/>
    </row>
    <row r="101" spans="2:23" s="115" customFormat="1">
      <c r="B101" s="299">
        <v>95</v>
      </c>
      <c r="C101" s="132" t="s">
        <v>243</v>
      </c>
      <c r="D101" s="128">
        <f t="shared" si="10"/>
        <v>17107</v>
      </c>
      <c r="F101" s="177"/>
      <c r="G101" s="177"/>
      <c r="H101" s="177"/>
      <c r="I101" s="177"/>
      <c r="J101" s="281"/>
      <c r="K101" s="176">
        <v>17107</v>
      </c>
      <c r="L101" s="177"/>
      <c r="M101" s="177"/>
      <c r="N101" s="177"/>
      <c r="O101" s="177"/>
      <c r="P101" s="177"/>
      <c r="Q101" s="13">
        <f t="shared" si="11"/>
        <v>17107</v>
      </c>
      <c r="R101" s="113"/>
      <c r="S101" s="282"/>
    </row>
    <row r="102" spans="2:23" s="115" customFormat="1">
      <c r="B102" s="299">
        <v>96</v>
      </c>
      <c r="C102" s="132" t="s">
        <v>244</v>
      </c>
      <c r="D102" s="128">
        <f t="shared" si="10"/>
        <v>8672</v>
      </c>
      <c r="F102" s="177"/>
      <c r="G102" s="177"/>
      <c r="H102" s="177"/>
      <c r="I102" s="177"/>
      <c r="J102" s="281"/>
      <c r="K102" s="176">
        <v>8672</v>
      </c>
      <c r="L102" s="177"/>
      <c r="M102" s="177"/>
      <c r="N102" s="177"/>
      <c r="O102" s="177"/>
      <c r="P102" s="177"/>
      <c r="Q102" s="13">
        <f t="shared" si="11"/>
        <v>8672</v>
      </c>
      <c r="R102" s="113"/>
      <c r="S102" s="282"/>
    </row>
    <row r="103" spans="2:23" s="115" customFormat="1">
      <c r="B103"/>
      <c r="C103" s="132"/>
      <c r="D103" s="128"/>
      <c r="E103" s="279"/>
      <c r="F103" s="279"/>
      <c r="G103" s="279"/>
      <c r="H103" s="279"/>
      <c r="I103" s="279"/>
      <c r="J103" s="281"/>
      <c r="K103" s="176"/>
      <c r="L103" s="288"/>
      <c r="M103" s="14"/>
      <c r="N103" s="14"/>
      <c r="O103" s="14"/>
      <c r="P103" s="14"/>
      <c r="Q103" s="13">
        <f t="shared" si="11"/>
        <v>0</v>
      </c>
      <c r="R103" s="113"/>
      <c r="S103" s="282"/>
    </row>
    <row r="104" spans="2:23" s="115" customFormat="1" ht="30">
      <c r="C104" s="129" t="s">
        <v>46</v>
      </c>
      <c r="D104" s="130">
        <f>SUM(D7:D103)</f>
        <v>18908166</v>
      </c>
      <c r="E104" s="279"/>
      <c r="F104" s="279"/>
      <c r="G104" s="279"/>
      <c r="H104" s="279"/>
      <c r="I104" s="279"/>
      <c r="J104" s="288"/>
      <c r="K104" s="176"/>
      <c r="L104" s="279"/>
      <c r="M104" s="288"/>
      <c r="N104" s="288"/>
      <c r="O104" s="288"/>
      <c r="P104" s="288"/>
      <c r="Q104" s="13">
        <f t="shared" si="11"/>
        <v>0</v>
      </c>
      <c r="R104" s="113"/>
    </row>
    <row r="105" spans="2:23" ht="15.75" thickBot="1">
      <c r="C105" s="135" t="s">
        <v>47</v>
      </c>
      <c r="D105" s="136">
        <f>+D104+D5</f>
        <v>20522926</v>
      </c>
      <c r="E105" s="45">
        <f t="shared" ref="E105:M105" si="12">SUM(E7:E104)</f>
        <v>2097150</v>
      </c>
      <c r="F105" s="45">
        <f t="shared" si="12"/>
        <v>2494850</v>
      </c>
      <c r="G105" s="45">
        <f t="shared" si="12"/>
        <v>2510954</v>
      </c>
      <c r="H105" s="45">
        <f t="shared" si="12"/>
        <v>2681912</v>
      </c>
      <c r="I105" s="45">
        <f t="shared" si="12"/>
        <v>2952382</v>
      </c>
      <c r="J105" s="137">
        <f t="shared" si="12"/>
        <v>2816699</v>
      </c>
      <c r="K105" s="313">
        <f>SUM(K7:K104)</f>
        <v>3354219</v>
      </c>
      <c r="L105" s="137">
        <f t="shared" si="12"/>
        <v>0</v>
      </c>
      <c r="M105" s="137">
        <f t="shared" si="12"/>
        <v>0</v>
      </c>
      <c r="N105" s="137">
        <f>SUM(N7:N104)</f>
        <v>0</v>
      </c>
      <c r="O105" s="137">
        <f>SUM(O7:O104)</f>
        <v>0</v>
      </c>
      <c r="P105" s="137">
        <f>SUM(P7:P104)</f>
        <v>0</v>
      </c>
      <c r="Q105" s="45">
        <f>SUM(E105:P105)</f>
        <v>18908166</v>
      </c>
      <c r="R105" s="27">
        <f>+'[2]BENEFICIARIO PR.TRIMESTRE'!$N$90</f>
        <v>2758099</v>
      </c>
      <c r="S105" s="23">
        <f>SUM(S5:S104)</f>
        <v>0</v>
      </c>
    </row>
    <row r="106" spans="2:23">
      <c r="C106" s="138"/>
      <c r="D106" s="139">
        <f>SUM(D7:D88)</f>
        <v>18059853</v>
      </c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T106" s="23"/>
    </row>
    <row r="107" spans="2:23" ht="15.75" thickBot="1">
      <c r="D107" s="140"/>
      <c r="E107" s="295">
        <f>E5+E105</f>
        <v>2303789</v>
      </c>
      <c r="F107" s="295">
        <f>F5+F105</f>
        <v>2716766</v>
      </c>
      <c r="G107" s="295">
        <f>G5+G105</f>
        <v>2763792</v>
      </c>
      <c r="H107" s="295">
        <f>H105+H6</f>
        <v>2935460</v>
      </c>
      <c r="I107" s="283">
        <f>I5+I105</f>
        <v>3230677</v>
      </c>
      <c r="J107" s="283">
        <f>J105+J6</f>
        <v>3018520</v>
      </c>
      <c r="K107" s="284">
        <f>K105+K6</f>
        <v>3553922</v>
      </c>
      <c r="L107" s="284">
        <f>+L105+L6</f>
        <v>0</v>
      </c>
      <c r="M107" s="141">
        <f>+M6+M105</f>
        <v>0</v>
      </c>
      <c r="N107" s="141">
        <f>N105+N6</f>
        <v>0</v>
      </c>
      <c r="O107" s="141">
        <f>+O105+O6</f>
        <v>0</v>
      </c>
      <c r="P107" s="141">
        <f>+P105+P6</f>
        <v>0</v>
      </c>
      <c r="Q107" s="15">
        <f>SUM(E107:P107)</f>
        <v>20522926</v>
      </c>
    </row>
    <row r="108" spans="2:23" ht="21" customHeight="1">
      <c r="C108" s="285"/>
      <c r="D108" s="113"/>
      <c r="E108" s="143">
        <v>75.06</v>
      </c>
      <c r="F108" s="143">
        <v>72.84</v>
      </c>
      <c r="G108" s="143">
        <v>74.400000000000006</v>
      </c>
      <c r="H108" s="143">
        <v>84.15</v>
      </c>
      <c r="I108" s="143"/>
      <c r="J108" s="113">
        <v>75.709999999999994</v>
      </c>
      <c r="K108" s="143">
        <v>69.72</v>
      </c>
      <c r="L108" s="143"/>
      <c r="M108" s="143"/>
      <c r="N108" s="143"/>
      <c r="O108" s="143"/>
      <c r="P108" s="143"/>
      <c r="Q108" s="223"/>
      <c r="R108" s="27">
        <f>+E108+F108+G108+H108+I108+J108+L108+M108</f>
        <v>382.16</v>
      </c>
      <c r="S108" s="225"/>
      <c r="U108" s="145"/>
      <c r="V108" s="146"/>
      <c r="W108" s="147"/>
    </row>
    <row r="109" spans="2:23" ht="15.75">
      <c r="C109" s="285"/>
      <c r="D109" s="140"/>
      <c r="E109" s="148">
        <f>E108*E105</f>
        <v>157412079</v>
      </c>
      <c r="F109" s="149">
        <f>F105*F108</f>
        <v>181724874</v>
      </c>
      <c r="G109" s="149">
        <f>G105*G108</f>
        <v>186814977.60000002</v>
      </c>
      <c r="H109" s="150">
        <f>+H105*84.15</f>
        <v>225682894.80000001</v>
      </c>
      <c r="I109" s="150">
        <f>I105*75.72</f>
        <v>223554365.03999999</v>
      </c>
      <c r="J109" s="151">
        <f>J105*J108</f>
        <v>213252281.28999999</v>
      </c>
      <c r="K109" s="150">
        <f>+K105*K108</f>
        <v>233856148.68000001</v>
      </c>
      <c r="L109" s="151">
        <f>+L105*L108</f>
        <v>0</v>
      </c>
      <c r="M109" s="151">
        <f>+M107*M108</f>
        <v>0</v>
      </c>
      <c r="N109" s="151">
        <f>+N105*N108</f>
        <v>0</v>
      </c>
      <c r="O109" s="151">
        <f>+O105*79.2</f>
        <v>0</v>
      </c>
      <c r="P109" s="151">
        <f>+P105*55.78</f>
        <v>0</v>
      </c>
      <c r="Q109" s="141">
        <f>SUM(E109:P109)</f>
        <v>1422297620.4100001</v>
      </c>
      <c r="R109" s="27">
        <f>571.13/9</f>
        <v>63.458888888888886</v>
      </c>
      <c r="S109" s="23"/>
      <c r="T109" s="23">
        <f>+P113+O113+N113</f>
        <v>0</v>
      </c>
      <c r="U109" s="152"/>
      <c r="V109" s="153"/>
      <c r="W109" s="154"/>
    </row>
    <row r="110" spans="2:23">
      <c r="S110" s="224"/>
      <c r="U110" s="155"/>
      <c r="V110" s="156"/>
      <c r="W110" s="154"/>
    </row>
    <row r="111" spans="2:23" ht="15.75" thickBot="1">
      <c r="D111" s="222" t="s">
        <v>227</v>
      </c>
      <c r="E111" s="27">
        <f>131537*75.06+75102*58.19072728</f>
        <v>14243407.22018256</v>
      </c>
      <c r="F111" s="27">
        <f>151929*72.84+69987*57.76515639</f>
        <v>15109318.360266931</v>
      </c>
      <c r="G111" s="27">
        <f>175612*74.4+77226*58.23615104</f>
        <v>17562877.800215043</v>
      </c>
      <c r="H111" s="27">
        <f>179480*84.15+74068*58.20158503</f>
        <v>19414117.000002041</v>
      </c>
      <c r="I111" s="27">
        <f>79310*58.22601185+198985*75.72</f>
        <v>19685049.199823499</v>
      </c>
      <c r="J111" s="27">
        <f>130137*75.71+71684*58.03240612</f>
        <v>14012667.270306079</v>
      </c>
      <c r="K111" s="27">
        <f>126294*69.72+73409*58.00753314</f>
        <v>13063492.680274259</v>
      </c>
      <c r="L111" s="24"/>
      <c r="M111" s="27"/>
      <c r="N111" s="27"/>
      <c r="O111" s="27"/>
      <c r="P111" s="27"/>
      <c r="Q111" s="23">
        <f>SUM(E111:O111)</f>
        <v>113090929.53107043</v>
      </c>
      <c r="R111" s="27">
        <f>+O111+N111+M111+L111+K111+J111+I111+G111+F111+H111+E111</f>
        <v>113090929.53107041</v>
      </c>
      <c r="S111" s="208"/>
      <c r="U111" s="157"/>
      <c r="V111" s="158"/>
      <c r="W111" s="159"/>
    </row>
    <row r="112" spans="2:23">
      <c r="D112" t="s">
        <v>228</v>
      </c>
      <c r="E112" s="27">
        <f>2097150*75.06</f>
        <v>157412079</v>
      </c>
      <c r="F112" s="27">
        <f>2494850*72.84</f>
        <v>181724874</v>
      </c>
      <c r="G112" s="27">
        <f>+G105*74.4</f>
        <v>186814977.60000002</v>
      </c>
      <c r="H112" s="27">
        <f>+H109</f>
        <v>225682894.80000001</v>
      </c>
      <c r="I112" s="27">
        <f>+I109</f>
        <v>223554365.03999999</v>
      </c>
      <c r="J112" s="24">
        <f>+J109</f>
        <v>213252281.28999999</v>
      </c>
      <c r="K112" s="24">
        <f>+K109</f>
        <v>233856148.68000001</v>
      </c>
      <c r="L112" s="24"/>
      <c r="M112" s="27"/>
      <c r="N112" s="27"/>
      <c r="O112" s="27"/>
      <c r="P112" s="27"/>
      <c r="Q112" s="27">
        <f>SUM(E112:P112)</f>
        <v>1422297620.4100001</v>
      </c>
      <c r="R112" s="27">
        <f>+O112+N112+M112+L112+K112+J112+I112+H112+G112+F112+E112</f>
        <v>1422297620.4099998</v>
      </c>
      <c r="S112" s="27"/>
      <c r="T112" s="23"/>
    </row>
    <row r="113" spans="3:24" ht="15.75">
      <c r="D113" s="218" t="s">
        <v>58</v>
      </c>
      <c r="E113" s="162">
        <f t="shared" ref="E113:M113" si="13">SUM(E111:E112)</f>
        <v>171655486.22018257</v>
      </c>
      <c r="F113" s="163">
        <f t="shared" si="13"/>
        <v>196834192.36026692</v>
      </c>
      <c r="G113" s="163">
        <f t="shared" si="13"/>
        <v>204377855.40021506</v>
      </c>
      <c r="H113" s="162">
        <f>SUM(H111:H112)</f>
        <v>245097011.80000204</v>
      </c>
      <c r="I113" s="162">
        <f>SUM(I111:I112)</f>
        <v>243239414.23982349</v>
      </c>
      <c r="J113" s="162">
        <f>SUM(J111:J112)</f>
        <v>227264948.56030607</v>
      </c>
      <c r="K113" s="162">
        <f t="shared" ref="K113" si="14">SUM(K111:K112)</f>
        <v>246919641.36027426</v>
      </c>
      <c r="L113" s="162">
        <f t="shared" si="13"/>
        <v>0</v>
      </c>
      <c r="M113" s="162">
        <f t="shared" si="13"/>
        <v>0</v>
      </c>
      <c r="N113" s="162">
        <f t="shared" ref="N113" si="15">SUM(N111:N112)</f>
        <v>0</v>
      </c>
      <c r="O113" s="162">
        <f>SUM(O111:O112)</f>
        <v>0</v>
      </c>
      <c r="P113" s="162">
        <f>SUM(P111:P112)</f>
        <v>0</v>
      </c>
      <c r="Q113" s="162">
        <f>SUM(E113:P113)</f>
        <v>1535388549.9410706</v>
      </c>
      <c r="R113" s="27">
        <f>SUM(R111:R112)</f>
        <v>1535388549.9410703</v>
      </c>
      <c r="S113" s="221"/>
      <c r="T113" s="85"/>
      <c r="U113" s="24">
        <v>125409</v>
      </c>
    </row>
    <row r="114" spans="3:24">
      <c r="I114" s="164"/>
      <c r="J114" s="27"/>
      <c r="K114" s="24"/>
      <c r="M114" s="23">
        <f>+'[1]RELACION COCIDA 2022'!$N$73</f>
        <v>0</v>
      </c>
      <c r="S114" s="23"/>
      <c r="U114">
        <v>227794</v>
      </c>
    </row>
    <row r="115" spans="3:24" ht="28.5" customHeight="1">
      <c r="E115" s="296">
        <f>+F115+G115</f>
        <v>16969004</v>
      </c>
      <c r="F115" s="296">
        <f>+E105+F105+G105+H105+I105+J105</f>
        <v>15553947</v>
      </c>
      <c r="G115" s="296">
        <f>+E6+F6+G6+H6+I6+J6</f>
        <v>1415057</v>
      </c>
      <c r="H115" s="42">
        <f>17288-16788</f>
        <v>500</v>
      </c>
      <c r="I115" s="56"/>
      <c r="J115" s="206"/>
      <c r="K115" s="293">
        <f>157374549/75.06</f>
        <v>2096650</v>
      </c>
      <c r="L115" s="206"/>
      <c r="M115" s="206"/>
      <c r="N115" s="206"/>
      <c r="O115" s="206"/>
      <c r="P115" s="206"/>
      <c r="Q115" s="54"/>
      <c r="S115" s="226"/>
      <c r="U115" s="292">
        <f>SUM(U113:U114)</f>
        <v>353203</v>
      </c>
      <c r="X115" s="24"/>
    </row>
    <row r="116" spans="3:24" ht="36.75" thickBot="1">
      <c r="E116" s="42"/>
      <c r="F116" s="42">
        <f>69987*59.03789275</f>
        <v>4131884.9998942497</v>
      </c>
      <c r="G116" s="287" t="s">
        <v>223</v>
      </c>
      <c r="H116" s="42">
        <v>2096650</v>
      </c>
      <c r="I116" s="56"/>
      <c r="J116" s="215"/>
      <c r="K116" s="294">
        <f>157412079/75.06</f>
        <v>2097150</v>
      </c>
      <c r="L116" s="207"/>
      <c r="M116" s="215"/>
      <c r="N116" s="215"/>
      <c r="O116" s="215"/>
      <c r="P116" s="215"/>
      <c r="Q116" s="42"/>
      <c r="X116" s="24"/>
    </row>
    <row r="117" spans="3:24" ht="15.75">
      <c r="C117" s="209"/>
      <c r="D117" s="210"/>
      <c r="E117" s="216"/>
      <c r="F117" s="42"/>
      <c r="G117" s="286">
        <f>+D105</f>
        <v>20522926</v>
      </c>
      <c r="H117" s="42">
        <f>SUM(H115:H116)</f>
        <v>2097150</v>
      </c>
      <c r="I117" s="56"/>
      <c r="J117" s="215"/>
      <c r="K117" s="219">
        <f>157412079/75.06</f>
        <v>2097150</v>
      </c>
      <c r="L117" s="215"/>
      <c r="M117" s="306"/>
      <c r="N117" s="205"/>
      <c r="O117" s="205"/>
      <c r="P117" s="205"/>
      <c r="Q117" s="48"/>
      <c r="S117" s="161"/>
      <c r="X117" s="24"/>
    </row>
    <row r="118" spans="3:24">
      <c r="C118" s="211">
        <v>2020</v>
      </c>
      <c r="D118" s="212">
        <f>2754727+804004</f>
        <v>3558731</v>
      </c>
      <c r="E118" s="42"/>
      <c r="F118" s="42"/>
      <c r="G118" s="42"/>
      <c r="H118" s="42"/>
      <c r="I118" s="56"/>
      <c r="J118" s="215"/>
      <c r="K118" s="215"/>
      <c r="L118" s="215"/>
      <c r="M118" s="215"/>
      <c r="N118" s="165"/>
      <c r="O118" s="165"/>
      <c r="P118" s="165"/>
      <c r="Q118" s="42"/>
      <c r="R118" s="23"/>
      <c r="S118" s="23"/>
    </row>
    <row r="119" spans="3:24">
      <c r="C119" s="211">
        <v>2021</v>
      </c>
      <c r="D119" s="212">
        <f>13673247+2036635</f>
        <v>15709882</v>
      </c>
      <c r="E119" s="42"/>
      <c r="F119" s="42"/>
      <c r="G119" s="42"/>
      <c r="H119" s="42"/>
      <c r="I119" s="56"/>
      <c r="J119" s="215"/>
      <c r="K119" s="215"/>
      <c r="L119" s="304"/>
      <c r="M119" s="215"/>
      <c r="N119" s="207"/>
      <c r="O119" s="207"/>
      <c r="P119" s="207"/>
      <c r="Q119" s="42"/>
    </row>
    <row r="120" spans="3:24">
      <c r="C120" s="211">
        <v>2022</v>
      </c>
      <c r="D120" s="212">
        <f>31620972+3655160</f>
        <v>35276132</v>
      </c>
      <c r="E120" s="42"/>
      <c r="F120" s="42"/>
      <c r="G120" s="42"/>
      <c r="H120" s="42"/>
      <c r="I120" s="42"/>
      <c r="J120" s="42"/>
      <c r="K120" s="42"/>
      <c r="L120" s="305"/>
      <c r="M120" s="42"/>
      <c r="N120" s="42"/>
      <c r="O120" s="286">
        <v>3198649</v>
      </c>
      <c r="P120" s="286">
        <f>+K105</f>
        <v>3354219</v>
      </c>
      <c r="Q120" s="286">
        <f>+P120-O120</f>
        <v>155570</v>
      </c>
      <c r="R120" s="27">
        <f>+K98+K99+K100+K101+K102</f>
        <v>155570</v>
      </c>
    </row>
    <row r="121" spans="3:24">
      <c r="C121" s="211">
        <v>2023</v>
      </c>
      <c r="D121" s="212">
        <f>+D105</f>
        <v>20522926</v>
      </c>
      <c r="O121" s="40">
        <f>3198649+199703</f>
        <v>3398352</v>
      </c>
      <c r="P121" s="40">
        <f>+K107</f>
        <v>3553922</v>
      </c>
      <c r="Q121" s="40">
        <f>+P121-O121</f>
        <v>155570</v>
      </c>
    </row>
    <row r="122" spans="3:24">
      <c r="C122" s="211"/>
      <c r="D122" s="217">
        <f>SUM(D118:D121)</f>
        <v>75067671</v>
      </c>
      <c r="O122" s="40"/>
      <c r="P122" s="40"/>
    </row>
    <row r="123" spans="3:24" ht="15.75" thickBot="1">
      <c r="C123" s="213"/>
      <c r="D123" s="214"/>
      <c r="O123" s="40"/>
      <c r="P123" s="40"/>
    </row>
    <row r="124" spans="3:24">
      <c r="E124">
        <f>+'COCIDA 2020'!Q62</f>
        <v>235745442.58999997</v>
      </c>
      <c r="O124" s="40"/>
      <c r="P124" s="40"/>
    </row>
    <row r="125" spans="3:24">
      <c r="E125" s="23">
        <f>+'COCIDA 2021'!Q61</f>
        <v>995506007.25999999</v>
      </c>
      <c r="O125" s="40"/>
      <c r="P125" s="40"/>
    </row>
    <row r="126" spans="3:24">
      <c r="E126" s="23" t="e">
        <f>+#REF!</f>
        <v>#REF!</v>
      </c>
      <c r="O126" s="40"/>
      <c r="P126" s="40"/>
    </row>
    <row r="127" spans="3:24">
      <c r="E127" s="23">
        <f>+Q113</f>
        <v>1535388549.9410706</v>
      </c>
      <c r="O127" s="40"/>
      <c r="P127" s="40"/>
    </row>
    <row r="128" spans="3:24">
      <c r="E128" s="27" t="e">
        <f>SUM(E124:E127)</f>
        <v>#REF!</v>
      </c>
      <c r="J128">
        <f>73409+126294</f>
        <v>199703</v>
      </c>
      <c r="O128" s="40"/>
      <c r="P128" s="40"/>
    </row>
    <row r="129" spans="10:10">
      <c r="J129">
        <f>4258275+9230828.46</f>
        <v>13489103.460000001</v>
      </c>
    </row>
    <row r="131" spans="10:10">
      <c r="J131">
        <f>19788765.3-16158465.3</f>
        <v>3630300</v>
      </c>
    </row>
  </sheetData>
  <mergeCells count="2">
    <mergeCell ref="C3:D3"/>
    <mergeCell ref="C4:D4"/>
  </mergeCells>
  <pageMargins left="0.11811023622047245" right="0.11811023622047245" top="0.23622047244094491" bottom="0.15748031496062992" header="0.23622047244094491" footer="0.31496062992125984"/>
  <pageSetup scale="7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K24"/>
  <sheetViews>
    <sheetView topLeftCell="A7" workbookViewId="0">
      <selection activeCell="K14" sqref="K14"/>
    </sheetView>
  </sheetViews>
  <sheetFormatPr baseColWidth="10" defaultRowHeight="15"/>
  <cols>
    <col min="1" max="1" width="4" customWidth="1"/>
    <col min="2" max="2" width="33.28515625" customWidth="1"/>
    <col min="3" max="3" width="17.42578125" customWidth="1"/>
    <col min="4" max="4" width="18.140625" customWidth="1"/>
    <col min="5" max="5" width="19.42578125" customWidth="1"/>
    <col min="6" max="6" width="18.42578125" customWidth="1"/>
    <col min="7" max="7" width="21.140625" customWidth="1"/>
    <col min="8" max="8" width="18.42578125" customWidth="1"/>
    <col min="9" max="9" width="16.5703125" customWidth="1"/>
    <col min="10" max="10" width="15.28515625" customWidth="1"/>
    <col min="11" max="11" width="16.42578125" bestFit="1" customWidth="1"/>
  </cols>
  <sheetData>
    <row r="8" spans="2:11" ht="14.25" customHeight="1"/>
    <row r="9" spans="2:11" ht="14.25" customHeight="1"/>
    <row r="10" spans="2:11" s="168" customFormat="1" ht="15.75" customHeight="1">
      <c r="B10" s="426" t="s">
        <v>168</v>
      </c>
      <c r="C10" s="426"/>
      <c r="D10" s="426"/>
      <c r="E10" s="426"/>
      <c r="F10" s="426"/>
      <c r="G10" s="426"/>
      <c r="H10" s="426"/>
    </row>
    <row r="11" spans="2:11">
      <c r="B11" s="427" t="s">
        <v>169</v>
      </c>
      <c r="C11" s="427"/>
      <c r="D11" s="427"/>
      <c r="E11" s="427"/>
      <c r="F11" s="427"/>
      <c r="G11" s="427"/>
      <c r="H11" s="427"/>
    </row>
    <row r="12" spans="2:11" ht="15.75" thickBot="1"/>
    <row r="13" spans="2:11" ht="72.75" customHeight="1" thickBot="1">
      <c r="B13" s="169" t="s">
        <v>170</v>
      </c>
      <c r="C13" s="170" t="s">
        <v>171</v>
      </c>
      <c r="D13" s="170" t="s">
        <v>172</v>
      </c>
      <c r="E13" s="171" t="s">
        <v>173</v>
      </c>
      <c r="F13" s="172" t="s">
        <v>174</v>
      </c>
      <c r="G13" s="173" t="s">
        <v>175</v>
      </c>
      <c r="H13" s="174" t="s">
        <v>176</v>
      </c>
    </row>
    <row r="14" spans="2:11" ht="33" customHeight="1">
      <c r="B14" s="175" t="s">
        <v>153</v>
      </c>
      <c r="C14" s="176"/>
      <c r="D14" s="177"/>
      <c r="E14" s="114">
        <v>18354</v>
      </c>
      <c r="F14" s="178">
        <v>11442601.800000001</v>
      </c>
      <c r="G14" s="26">
        <f>400+10957+3400+200</f>
        <v>14957</v>
      </c>
      <c r="H14" s="179">
        <f>318648+8728565.34+2708508+227372</f>
        <v>11983093.34</v>
      </c>
    </row>
    <row r="15" spans="2:11" ht="18.75" customHeight="1">
      <c r="B15" s="180" t="s">
        <v>177</v>
      </c>
      <c r="C15" s="176">
        <v>70450</v>
      </c>
      <c r="D15" s="181">
        <v>47573699.25</v>
      </c>
      <c r="E15" s="182">
        <v>42417</v>
      </c>
      <c r="F15" s="183">
        <v>39524024.780000001</v>
      </c>
      <c r="G15" s="182">
        <v>53983</v>
      </c>
      <c r="H15" s="184">
        <v>41643336.859999999</v>
      </c>
    </row>
    <row r="16" spans="2:11" ht="26.25" customHeight="1">
      <c r="B16" s="180" t="s">
        <v>178</v>
      </c>
      <c r="C16" s="176">
        <v>20601294</v>
      </c>
      <c r="D16" s="181">
        <v>868798423.90999997</v>
      </c>
      <c r="E16" s="182">
        <v>10416986</v>
      </c>
      <c r="F16" s="185">
        <v>886527824.19000006</v>
      </c>
      <c r="G16" s="182">
        <v>5486668</v>
      </c>
      <c r="H16" s="184">
        <v>348964250.93000001</v>
      </c>
      <c r="I16" s="186"/>
      <c r="J16" s="186"/>
      <c r="K16" s="186"/>
    </row>
    <row r="17" spans="2:11" ht="16.5" thickBot="1">
      <c r="B17" s="187" t="s">
        <v>179</v>
      </c>
      <c r="C17" s="188">
        <f>SUM(C15:C16)</f>
        <v>20671744</v>
      </c>
      <c r="D17" s="189">
        <f>SUM(D15:D16)</f>
        <v>916372123.15999997</v>
      </c>
      <c r="E17" s="190">
        <f>SUM(E14:E16)</f>
        <v>10477757</v>
      </c>
      <c r="F17" s="191">
        <f>SUM(F14:F16)</f>
        <v>937494450.7700001</v>
      </c>
      <c r="G17" s="192">
        <f>SUM(G14:G16)</f>
        <v>5555608</v>
      </c>
      <c r="H17" s="193">
        <f>SUM(H14:H16)</f>
        <v>402590681.13</v>
      </c>
      <c r="I17" s="194"/>
      <c r="J17" s="194"/>
      <c r="K17" s="186"/>
    </row>
    <row r="18" spans="2:11" s="42" customFormat="1">
      <c r="B18" s="195"/>
      <c r="C18" s="196"/>
      <c r="D18" s="197"/>
      <c r="E18" s="198"/>
      <c r="F18" s="199"/>
      <c r="I18" s="200"/>
      <c r="J18" s="200"/>
      <c r="K18" s="200"/>
    </row>
    <row r="19" spans="2:11" ht="15.75">
      <c r="E19" s="27"/>
      <c r="F19" s="201"/>
      <c r="G19" s="202"/>
      <c r="H19" s="203"/>
      <c r="I19" s="186"/>
      <c r="J19" s="186"/>
      <c r="K19" s="186"/>
    </row>
    <row r="20" spans="2:11">
      <c r="G20" s="25"/>
      <c r="H20" s="204"/>
    </row>
    <row r="21" spans="2:11">
      <c r="G21" s="25"/>
      <c r="J21" s="23"/>
    </row>
    <row r="24" spans="2:11">
      <c r="I24" s="23"/>
    </row>
  </sheetData>
  <mergeCells count="2">
    <mergeCell ref="B10:H10"/>
    <mergeCell ref="B11:H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D51"/>
  <sheetViews>
    <sheetView topLeftCell="A31" workbookViewId="0">
      <selection activeCell="D52" sqref="D52"/>
    </sheetView>
  </sheetViews>
  <sheetFormatPr baseColWidth="10" defaultRowHeight="15"/>
  <cols>
    <col min="4" max="4" width="31.140625" customWidth="1"/>
  </cols>
  <sheetData>
    <row r="6" spans="3:4" ht="15.75">
      <c r="D6" s="256">
        <v>2021</v>
      </c>
    </row>
    <row r="7" spans="3:4">
      <c r="C7" s="218">
        <v>1</v>
      </c>
      <c r="D7" s="255" t="s">
        <v>209</v>
      </c>
    </row>
    <row r="8" spans="3:4">
      <c r="C8" s="218">
        <v>2</v>
      </c>
      <c r="D8" s="255" t="s">
        <v>210</v>
      </c>
    </row>
    <row r="9" spans="3:4">
      <c r="C9" s="218">
        <v>3</v>
      </c>
      <c r="D9" s="255" t="s">
        <v>211</v>
      </c>
    </row>
    <row r="10" spans="3:4">
      <c r="C10" s="218">
        <v>4</v>
      </c>
      <c r="D10" s="218" t="s">
        <v>212</v>
      </c>
    </row>
    <row r="11" spans="3:4">
      <c r="C11" s="218">
        <v>5</v>
      </c>
      <c r="D11" s="218" t="s">
        <v>213</v>
      </c>
    </row>
    <row r="12" spans="3:4">
      <c r="C12" s="218">
        <v>6</v>
      </c>
      <c r="D12" s="218" t="s">
        <v>214</v>
      </c>
    </row>
    <row r="14" spans="3:4" ht="15.75">
      <c r="D14" s="256">
        <v>2022</v>
      </c>
    </row>
    <row r="15" spans="3:4" ht="15.75">
      <c r="C15" s="218">
        <v>7</v>
      </c>
      <c r="D15" s="269" t="s">
        <v>75</v>
      </c>
    </row>
    <row r="16" spans="3:4">
      <c r="C16" s="218">
        <v>8</v>
      </c>
      <c r="D16" s="270" t="s">
        <v>156</v>
      </c>
    </row>
    <row r="17" spans="3:4">
      <c r="C17" s="218">
        <v>9</v>
      </c>
      <c r="D17" s="270" t="s">
        <v>70</v>
      </c>
    </row>
    <row r="18" spans="3:4">
      <c r="C18" s="218">
        <v>10</v>
      </c>
      <c r="D18" s="270" t="s">
        <v>141</v>
      </c>
    </row>
    <row r="19" spans="3:4">
      <c r="C19" s="218">
        <v>11</v>
      </c>
      <c r="D19" s="270" t="s">
        <v>157</v>
      </c>
    </row>
    <row r="20" spans="3:4">
      <c r="C20" s="218">
        <v>12</v>
      </c>
      <c r="D20" s="270" t="s">
        <v>144</v>
      </c>
    </row>
    <row r="21" spans="3:4">
      <c r="C21" s="218">
        <v>13</v>
      </c>
      <c r="D21" s="270" t="s">
        <v>145</v>
      </c>
    </row>
    <row r="22" spans="3:4">
      <c r="C22" s="218">
        <v>14</v>
      </c>
      <c r="D22" s="270" t="s">
        <v>62</v>
      </c>
    </row>
    <row r="23" spans="3:4">
      <c r="C23" s="218">
        <v>15</v>
      </c>
      <c r="D23" s="270" t="s">
        <v>64</v>
      </c>
    </row>
    <row r="24" spans="3:4">
      <c r="C24" s="218">
        <v>16</v>
      </c>
      <c r="D24" s="270" t="s">
        <v>162</v>
      </c>
    </row>
    <row r="25" spans="3:4" ht="13.5" customHeight="1">
      <c r="C25" s="218">
        <v>17</v>
      </c>
      <c r="D25" s="270" t="s">
        <v>146</v>
      </c>
    </row>
    <row r="26" spans="3:4">
      <c r="C26" s="218">
        <v>18</v>
      </c>
      <c r="D26" s="270" t="s">
        <v>65</v>
      </c>
    </row>
    <row r="27" spans="3:4">
      <c r="C27" s="218">
        <v>19</v>
      </c>
      <c r="D27" s="270" t="s">
        <v>63</v>
      </c>
    </row>
    <row r="28" spans="3:4" ht="15.75">
      <c r="C28" s="218">
        <v>20</v>
      </c>
      <c r="D28" s="271" t="s">
        <v>143</v>
      </c>
    </row>
    <row r="30" spans="3:4" ht="15.75">
      <c r="D30" s="256">
        <v>2023</v>
      </c>
    </row>
    <row r="31" spans="3:4">
      <c r="C31" s="218">
        <v>21</v>
      </c>
      <c r="D31" s="218" t="s">
        <v>185</v>
      </c>
    </row>
    <row r="32" spans="3:4">
      <c r="C32" s="218">
        <v>22</v>
      </c>
      <c r="D32" s="218" t="s">
        <v>156</v>
      </c>
    </row>
    <row r="33" spans="3:4">
      <c r="C33" s="218">
        <v>23</v>
      </c>
      <c r="D33" s="218" t="s">
        <v>180</v>
      </c>
    </row>
    <row r="34" spans="3:4">
      <c r="C34" s="218">
        <v>24</v>
      </c>
      <c r="D34" s="218" t="s">
        <v>181</v>
      </c>
    </row>
    <row r="35" spans="3:4">
      <c r="C35" s="218">
        <v>25</v>
      </c>
      <c r="D35" s="218" t="s">
        <v>155</v>
      </c>
    </row>
    <row r="36" spans="3:4">
      <c r="C36" s="218">
        <v>26</v>
      </c>
      <c r="D36" s="218" t="s">
        <v>160</v>
      </c>
    </row>
    <row r="37" spans="3:4">
      <c r="C37" s="218">
        <v>27</v>
      </c>
      <c r="D37" s="218" t="s">
        <v>186</v>
      </c>
    </row>
    <row r="38" spans="3:4">
      <c r="C38" s="218">
        <v>28</v>
      </c>
      <c r="D38" s="218" t="s">
        <v>161</v>
      </c>
    </row>
    <row r="39" spans="3:4">
      <c r="C39" s="218">
        <v>29</v>
      </c>
      <c r="D39" s="218" t="s">
        <v>163</v>
      </c>
    </row>
    <row r="40" spans="3:4">
      <c r="C40" s="218">
        <v>30</v>
      </c>
      <c r="D40" s="218" t="s">
        <v>164</v>
      </c>
    </row>
    <row r="41" spans="3:4">
      <c r="C41" s="218">
        <v>31</v>
      </c>
      <c r="D41" s="218" t="s">
        <v>165</v>
      </c>
    </row>
    <row r="42" spans="3:4">
      <c r="C42" s="218">
        <v>32</v>
      </c>
      <c r="D42" s="218" t="s">
        <v>154</v>
      </c>
    </row>
    <row r="43" spans="3:4">
      <c r="C43" s="218">
        <v>33</v>
      </c>
      <c r="D43" s="218" t="s">
        <v>182</v>
      </c>
    </row>
    <row r="44" spans="3:4" ht="14.25" customHeight="1">
      <c r="C44" s="218">
        <v>34</v>
      </c>
      <c r="D44" s="218" t="s">
        <v>146</v>
      </c>
    </row>
    <row r="45" spans="3:4">
      <c r="C45" s="218">
        <v>35</v>
      </c>
      <c r="D45" s="218" t="s">
        <v>166</v>
      </c>
    </row>
    <row r="46" spans="3:4">
      <c r="C46" s="218">
        <v>36</v>
      </c>
      <c r="D46" s="218" t="s">
        <v>184</v>
      </c>
    </row>
    <row r="47" spans="3:4">
      <c r="C47" s="218">
        <v>37</v>
      </c>
      <c r="D47" s="218" t="s">
        <v>167</v>
      </c>
    </row>
    <row r="48" spans="3:4">
      <c r="C48" s="218">
        <v>38</v>
      </c>
      <c r="D48" s="218" t="s">
        <v>183</v>
      </c>
    </row>
    <row r="49" spans="3:4">
      <c r="C49" s="218">
        <v>39</v>
      </c>
      <c r="D49" s="268" t="s">
        <v>218</v>
      </c>
    </row>
    <row r="50" spans="3:4">
      <c r="D50" s="291" t="s">
        <v>231</v>
      </c>
    </row>
    <row r="51" spans="3:4">
      <c r="D51" s="291" t="s">
        <v>230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topLeftCell="B1" workbookViewId="0">
      <selection activeCell="Q11" sqref="B1:Q11"/>
    </sheetView>
  </sheetViews>
  <sheetFormatPr baseColWidth="10" defaultRowHeight="15"/>
  <cols>
    <col min="1" max="1" width="0" hidden="1" customWidth="1"/>
    <col min="2" max="2" width="3.5703125" customWidth="1"/>
    <col min="3" max="3" width="25.140625" style="115" customWidth="1"/>
    <col min="4" max="4" width="13.7109375" style="115" customWidth="1"/>
    <col min="5" max="5" width="15.7109375" customWidth="1"/>
    <col min="6" max="6" width="15.5703125" customWidth="1"/>
    <col min="7" max="7" width="16.28515625" customWidth="1"/>
    <col min="8" max="9" width="15.85546875" customWidth="1"/>
    <col min="10" max="10" width="16.140625" customWidth="1"/>
    <col min="11" max="11" width="16.28515625" customWidth="1"/>
    <col min="12" max="12" width="14.7109375" customWidth="1"/>
    <col min="13" max="13" width="0.28515625" customWidth="1"/>
    <col min="14" max="14" width="16" hidden="1" customWidth="1"/>
    <col min="15" max="15" width="15.42578125" hidden="1" customWidth="1"/>
    <col min="16" max="16" width="17" hidden="1" customWidth="1"/>
    <col min="17" max="17" width="14.28515625" customWidth="1"/>
    <col min="18" max="18" width="17.85546875" style="27" customWidth="1"/>
    <col min="19" max="19" width="18.7109375" customWidth="1"/>
    <col min="20" max="20" width="16.85546875" bestFit="1" customWidth="1"/>
    <col min="21" max="21" width="17.28515625" bestFit="1" customWidth="1"/>
  </cols>
  <sheetData>
    <row r="1" spans="2:24" ht="15.75" thickBot="1">
      <c r="E1" s="24"/>
    </row>
    <row r="2" spans="2:24" ht="15.75" thickBot="1">
      <c r="C2" s="389" t="s">
        <v>264</v>
      </c>
      <c r="D2" s="390"/>
      <c r="E2" s="325" t="s">
        <v>48</v>
      </c>
      <c r="F2" s="326" t="s">
        <v>49</v>
      </c>
      <c r="G2" s="326" t="s">
        <v>50</v>
      </c>
      <c r="H2" s="326" t="s">
        <v>51</v>
      </c>
      <c r="I2" s="326" t="s">
        <v>52</v>
      </c>
      <c r="J2" s="326" t="s">
        <v>53</v>
      </c>
      <c r="K2" s="326" t="s">
        <v>54</v>
      </c>
      <c r="L2" s="327" t="s">
        <v>55</v>
      </c>
      <c r="M2" s="259" t="s">
        <v>140</v>
      </c>
      <c r="N2" s="259" t="s">
        <v>57</v>
      </c>
      <c r="O2" s="259" t="s">
        <v>66</v>
      </c>
      <c r="P2" s="259" t="s">
        <v>67</v>
      </c>
      <c r="Q2" s="326" t="s">
        <v>58</v>
      </c>
      <c r="S2" s="23"/>
    </row>
    <row r="3" spans="2:24">
      <c r="B3" s="299">
        <v>12</v>
      </c>
      <c r="C3" s="129" t="s">
        <v>156</v>
      </c>
      <c r="D3" s="130">
        <f t="shared" ref="D3:D5" si="0">+Q3</f>
        <v>459687</v>
      </c>
      <c r="E3" s="13">
        <v>0</v>
      </c>
      <c r="F3" s="13">
        <v>73958</v>
      </c>
      <c r="G3" s="13">
        <v>125902</v>
      </c>
      <c r="H3" s="13">
        <v>164447</v>
      </c>
      <c r="I3" s="13">
        <v>71419</v>
      </c>
      <c r="J3" s="44">
        <v>0</v>
      </c>
      <c r="K3" s="308">
        <v>0</v>
      </c>
      <c r="L3" s="13">
        <v>23961</v>
      </c>
      <c r="M3" s="13"/>
      <c r="N3" s="13"/>
      <c r="O3" s="13"/>
      <c r="P3" s="13"/>
      <c r="Q3" s="13">
        <f t="shared" ref="Q3:Q6" si="1">SUM(E3:P3)</f>
        <v>459687</v>
      </c>
      <c r="R3" s="113"/>
      <c r="S3" s="23">
        <f t="shared" ref="S3:S5" si="2">+Q3*R3</f>
        <v>0</v>
      </c>
    </row>
    <row r="4" spans="2:24" s="115" customFormat="1">
      <c r="B4" s="299">
        <v>34</v>
      </c>
      <c r="C4" s="132" t="s">
        <v>145</v>
      </c>
      <c r="D4" s="128">
        <f t="shared" si="0"/>
        <v>23498</v>
      </c>
      <c r="E4" s="279">
        <v>0</v>
      </c>
      <c r="F4" s="279">
        <v>1860</v>
      </c>
      <c r="G4" s="279">
        <v>5285</v>
      </c>
      <c r="H4" s="279">
        <v>5090</v>
      </c>
      <c r="I4" s="279">
        <v>3502</v>
      </c>
      <c r="J4" s="280">
        <v>2200</v>
      </c>
      <c r="K4" s="309">
        <v>2365</v>
      </c>
      <c r="L4" s="279">
        <v>3196</v>
      </c>
      <c r="M4" s="13"/>
      <c r="N4" s="13"/>
      <c r="O4" s="13"/>
      <c r="P4" s="13"/>
      <c r="Q4" s="13">
        <f t="shared" si="1"/>
        <v>23498</v>
      </c>
      <c r="R4" s="113"/>
      <c r="S4" s="23">
        <f t="shared" si="2"/>
        <v>0</v>
      </c>
    </row>
    <row r="5" spans="2:24" s="115" customFormat="1" ht="13.5" customHeight="1">
      <c r="B5" s="299">
        <v>46</v>
      </c>
      <c r="C5" s="132" t="s">
        <v>146</v>
      </c>
      <c r="D5" s="128">
        <f t="shared" si="0"/>
        <v>8260</v>
      </c>
      <c r="E5" s="279">
        <v>0</v>
      </c>
      <c r="F5" s="279">
        <v>720</v>
      </c>
      <c r="G5" s="279">
        <v>3240</v>
      </c>
      <c r="H5" s="279">
        <v>3480</v>
      </c>
      <c r="I5" s="279">
        <v>820</v>
      </c>
      <c r="J5" s="280">
        <v>0</v>
      </c>
      <c r="K5" s="309">
        <v>0</v>
      </c>
      <c r="L5" s="279"/>
      <c r="M5" s="13"/>
      <c r="N5" s="13"/>
      <c r="O5" s="13"/>
      <c r="P5" s="13"/>
      <c r="Q5" s="13">
        <f t="shared" si="1"/>
        <v>8260</v>
      </c>
      <c r="R5" s="113"/>
      <c r="S5" s="23">
        <f t="shared" si="2"/>
        <v>0</v>
      </c>
    </row>
    <row r="6" spans="2:24" s="115" customFormat="1">
      <c r="B6" s="299">
        <v>62</v>
      </c>
      <c r="C6" s="132" t="s">
        <v>232</v>
      </c>
      <c r="D6" s="128">
        <f>+Q6</f>
        <v>0</v>
      </c>
      <c r="E6" s="279">
        <v>0</v>
      </c>
      <c r="F6" s="279"/>
      <c r="G6" s="279"/>
      <c r="H6" s="279"/>
      <c r="I6" s="279"/>
      <c r="J6" s="281">
        <v>0</v>
      </c>
      <c r="K6" s="311">
        <v>0</v>
      </c>
      <c r="L6" s="288">
        <v>0</v>
      </c>
      <c r="M6" s="14"/>
      <c r="N6" s="14"/>
      <c r="O6" s="14"/>
      <c r="P6" s="13"/>
      <c r="Q6" s="13">
        <f t="shared" si="1"/>
        <v>0</v>
      </c>
      <c r="R6" s="113"/>
      <c r="S6" s="23"/>
    </row>
    <row r="7" spans="2:24" s="115" customFormat="1">
      <c r="B7" s="299">
        <v>68</v>
      </c>
      <c r="C7" s="132" t="s">
        <v>167</v>
      </c>
      <c r="D7" s="128">
        <f>Q7</f>
        <v>17621</v>
      </c>
      <c r="E7" s="279"/>
      <c r="F7" s="279"/>
      <c r="G7" s="279">
        <v>7607</v>
      </c>
      <c r="H7" s="279">
        <v>6702</v>
      </c>
      <c r="I7" s="279">
        <v>3312</v>
      </c>
      <c r="J7" s="280">
        <v>0</v>
      </c>
      <c r="K7" s="309">
        <v>0</v>
      </c>
      <c r="L7" s="279"/>
      <c r="M7" s="13"/>
      <c r="N7" s="13"/>
      <c r="O7" s="13"/>
      <c r="P7" s="13"/>
      <c r="Q7" s="13">
        <f t="shared" ref="Q7" si="3">SUM(E7:P7)</f>
        <v>17621</v>
      </c>
      <c r="R7" s="113"/>
      <c r="S7" s="23">
        <f t="shared" ref="S7" si="4">+Q7*R7</f>
        <v>0</v>
      </c>
    </row>
    <row r="8" spans="2:24" ht="15.75" thickBot="1">
      <c r="C8" s="135" t="s">
        <v>47</v>
      </c>
      <c r="D8" s="136">
        <f t="shared" ref="D8:P8" si="5">SUM(D3:D7)</f>
        <v>509066</v>
      </c>
      <c r="E8" s="324">
        <f t="shared" si="5"/>
        <v>0</v>
      </c>
      <c r="F8" s="324">
        <f t="shared" si="5"/>
        <v>76538</v>
      </c>
      <c r="G8" s="324">
        <f t="shared" si="5"/>
        <v>142034</v>
      </c>
      <c r="H8" s="324">
        <f t="shared" si="5"/>
        <v>179719</v>
      </c>
      <c r="I8" s="324">
        <f t="shared" si="5"/>
        <v>79053</v>
      </c>
      <c r="J8" s="328">
        <f t="shared" si="5"/>
        <v>2200</v>
      </c>
      <c r="K8" s="329">
        <f t="shared" si="5"/>
        <v>2365</v>
      </c>
      <c r="L8" s="328">
        <f t="shared" si="5"/>
        <v>27157</v>
      </c>
      <c r="M8" s="328">
        <f t="shared" si="5"/>
        <v>0</v>
      </c>
      <c r="N8" s="328">
        <f t="shared" si="5"/>
        <v>0</v>
      </c>
      <c r="O8" s="328">
        <f t="shared" si="5"/>
        <v>0</v>
      </c>
      <c r="P8" s="328">
        <f t="shared" si="5"/>
        <v>0</v>
      </c>
      <c r="Q8" s="324">
        <f>SUM(E8:P8)</f>
        <v>509066</v>
      </c>
      <c r="R8" s="27">
        <f>+'[2]BENEFICIARIO PR.TRIMESTRE'!$N$90</f>
        <v>2758099</v>
      </c>
      <c r="S8" s="23">
        <f>SUM(S2:S7)</f>
        <v>0</v>
      </c>
    </row>
    <row r="9" spans="2:24" ht="15.75" thickBot="1">
      <c r="C9" s="138"/>
      <c r="D9" s="139">
        <f>SUM(D3:D8)</f>
        <v>1018132</v>
      </c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T9" s="23"/>
    </row>
    <row r="10" spans="2:24" ht="21" customHeight="1">
      <c r="C10" s="337"/>
      <c r="D10" s="338"/>
      <c r="E10" s="339">
        <v>75.06</v>
      </c>
      <c r="F10" s="339">
        <v>72.84</v>
      </c>
      <c r="G10" s="339">
        <v>74.400000000000006</v>
      </c>
      <c r="H10" s="339">
        <v>84.15</v>
      </c>
      <c r="I10" s="339">
        <v>75.72</v>
      </c>
      <c r="J10" s="338">
        <v>75.709999999999994</v>
      </c>
      <c r="K10" s="339">
        <v>69.72</v>
      </c>
      <c r="L10" s="339">
        <v>69.72</v>
      </c>
      <c r="M10" s="339"/>
      <c r="N10" s="339"/>
      <c r="O10" s="339"/>
      <c r="P10" s="339"/>
      <c r="Q10" s="340"/>
      <c r="R10" s="27">
        <f>+E10+F10+G10+H10+I10+J10+L10+M10</f>
        <v>527.6</v>
      </c>
      <c r="S10" s="225"/>
      <c r="U10" s="145"/>
      <c r="V10" s="146"/>
      <c r="W10" s="147"/>
    </row>
    <row r="11" spans="2:24" ht="15.75">
      <c r="C11" s="337"/>
      <c r="D11" s="332"/>
      <c r="E11" s="341">
        <f>E10*E8</f>
        <v>0</v>
      </c>
      <c r="F11" s="342">
        <f>+F8*F10</f>
        <v>5575027.9199999999</v>
      </c>
      <c r="G11" s="342">
        <f t="shared" ref="G11:P11" si="6">+G8*G10</f>
        <v>10567329.600000001</v>
      </c>
      <c r="H11" s="342">
        <f t="shared" si="6"/>
        <v>15123353.850000001</v>
      </c>
      <c r="I11" s="342">
        <f t="shared" si="6"/>
        <v>5985893.1600000001</v>
      </c>
      <c r="J11" s="342">
        <f t="shared" si="6"/>
        <v>166562</v>
      </c>
      <c r="K11" s="342">
        <f t="shared" si="6"/>
        <v>164887.79999999999</v>
      </c>
      <c r="L11" s="342">
        <f t="shared" si="6"/>
        <v>1893386.04</v>
      </c>
      <c r="M11" s="342">
        <f t="shared" si="6"/>
        <v>0</v>
      </c>
      <c r="N11" s="342">
        <f t="shared" si="6"/>
        <v>0</v>
      </c>
      <c r="O11" s="342">
        <f t="shared" si="6"/>
        <v>0</v>
      </c>
      <c r="P11" s="342">
        <f t="shared" si="6"/>
        <v>0</v>
      </c>
      <c r="Q11" s="336">
        <f>SUM(E11:P11)</f>
        <v>39476440.369999997</v>
      </c>
      <c r="R11" s="27">
        <f>571.13/9</f>
        <v>63.458888888888886</v>
      </c>
      <c r="S11" s="23"/>
      <c r="T11" s="23" t="e">
        <f>+#REF!+#REF!+#REF!</f>
        <v>#REF!</v>
      </c>
      <c r="U11" s="152"/>
      <c r="V11" s="153"/>
      <c r="W11" s="154"/>
    </row>
    <row r="12" spans="2:24">
      <c r="S12" s="224"/>
      <c r="U12" s="155"/>
      <c r="V12" s="156"/>
      <c r="W12" s="154"/>
    </row>
    <row r="13" spans="2:24">
      <c r="I13" s="164"/>
      <c r="J13" s="27"/>
      <c r="K13" s="24"/>
      <c r="M13" s="23">
        <f>+'[1]RELACION COCIDA 2022'!$N$73</f>
        <v>0</v>
      </c>
      <c r="S13" s="23"/>
      <c r="U13">
        <v>227794</v>
      </c>
    </row>
    <row r="14" spans="2:24" ht="28.5" customHeight="1">
      <c r="E14" s="296" t="e">
        <f>+F14+G14</f>
        <v>#REF!</v>
      </c>
      <c r="F14" s="296">
        <f>+E8+F8+G8+H8+I8+J8</f>
        <v>479544</v>
      </c>
      <c r="G14" s="296" t="e">
        <f>+#REF!+#REF!+#REF!+#REF!+#REF!+#REF!</f>
        <v>#REF!</v>
      </c>
      <c r="H14" s="42">
        <f>17288-16788</f>
        <v>500</v>
      </c>
      <c r="I14" s="56"/>
      <c r="J14" s="206"/>
      <c r="K14" s="293">
        <f>157374549/75.06</f>
        <v>2096650</v>
      </c>
      <c r="L14" s="206"/>
      <c r="M14" s="206">
        <f>+F4+F5+G4+G5+G7+H4+H5+H7+I4+I5+I7+J4+K4+L4</f>
        <v>49379</v>
      </c>
      <c r="N14" s="206">
        <f>+M14+459687</f>
        <v>509066</v>
      </c>
      <c r="O14" s="206"/>
      <c r="P14" s="206"/>
      <c r="Q14" s="54"/>
      <c r="S14" s="226"/>
      <c r="U14" s="292">
        <f>SUM(U13:U13)</f>
        <v>227794</v>
      </c>
      <c r="X14" s="24"/>
    </row>
    <row r="15" spans="2:24" ht="36.75" thickBot="1">
      <c r="E15" s="42"/>
      <c r="F15" s="42">
        <f>69987*59.03789275</f>
        <v>4131884.9998942497</v>
      </c>
      <c r="G15" s="287" t="s">
        <v>223</v>
      </c>
      <c r="H15" s="42">
        <v>2096650</v>
      </c>
      <c r="I15" s="56"/>
      <c r="J15" s="215"/>
      <c r="K15" s="294">
        <f>157412079/75.06</f>
        <v>2097150</v>
      </c>
      <c r="L15" s="207"/>
      <c r="M15" s="215"/>
      <c r="N15" s="215"/>
      <c r="O15" s="215"/>
      <c r="P15" s="215"/>
      <c r="Q15" s="42"/>
      <c r="X15" s="24"/>
    </row>
    <row r="16" spans="2:24" ht="15.75">
      <c r="C16" s="209"/>
      <c r="D16" s="210"/>
      <c r="E16" s="216"/>
      <c r="F16" s="42"/>
      <c r="G16" s="286">
        <f>+D8</f>
        <v>509066</v>
      </c>
      <c r="H16" s="42">
        <f>SUM(H14:H15)</f>
        <v>2097150</v>
      </c>
      <c r="I16" s="56"/>
      <c r="J16" s="215"/>
      <c r="K16" s="219">
        <f>157412079/75.06</f>
        <v>2097150</v>
      </c>
      <c r="L16" s="215"/>
      <c r="M16" s="306"/>
      <c r="N16" s="205"/>
      <c r="O16" s="205"/>
      <c r="P16" s="205"/>
      <c r="Q16" s="48"/>
      <c r="S16" s="161"/>
      <c r="X16" s="24"/>
    </row>
    <row r="17" spans="3:19">
      <c r="C17" s="211">
        <v>2020</v>
      </c>
      <c r="D17" s="212">
        <f>2754727+804004</f>
        <v>3558731</v>
      </c>
      <c r="E17" s="42"/>
      <c r="F17" s="42"/>
      <c r="G17" s="42"/>
      <c r="H17" s="42"/>
      <c r="I17" s="56"/>
      <c r="J17" s="215"/>
      <c r="K17" s="215"/>
      <c r="L17" s="215"/>
      <c r="M17" s="215"/>
      <c r="N17" s="165"/>
      <c r="O17" s="165"/>
      <c r="P17" s="165"/>
      <c r="Q17" s="42"/>
      <c r="R17" s="23"/>
      <c r="S17" s="23"/>
    </row>
    <row r="18" spans="3:19">
      <c r="C18" s="211">
        <v>2021</v>
      </c>
      <c r="D18" s="212">
        <f>13673247+2036635</f>
        <v>15709882</v>
      </c>
      <c r="E18" s="42"/>
      <c r="F18" s="42"/>
      <c r="G18" s="42"/>
      <c r="H18" s="42"/>
      <c r="I18" s="56"/>
      <c r="J18" s="215"/>
      <c r="K18" s="215"/>
      <c r="L18" s="304"/>
      <c r="M18" s="215"/>
      <c r="N18" s="207"/>
      <c r="O18" s="207"/>
      <c r="P18" s="207"/>
      <c r="Q18" s="42"/>
    </row>
    <row r="19" spans="3:19">
      <c r="C19" s="211">
        <v>2022</v>
      </c>
      <c r="D19" s="212">
        <f>31620972+3655160</f>
        <v>35276132</v>
      </c>
      <c r="E19" s="42"/>
      <c r="F19" s="42"/>
      <c r="G19" s="42"/>
      <c r="H19" s="42"/>
      <c r="I19" s="42"/>
      <c r="J19" s="42"/>
      <c r="K19" s="42"/>
      <c r="L19" s="305"/>
      <c r="M19" s="42"/>
      <c r="N19" s="42"/>
      <c r="O19" s="286"/>
      <c r="P19" s="286"/>
      <c r="Q19" s="286"/>
    </row>
    <row r="20" spans="3:19">
      <c r="C20" s="211">
        <v>2023</v>
      </c>
      <c r="D20" s="212">
        <f>+D8</f>
        <v>509066</v>
      </c>
      <c r="O20" s="40"/>
      <c r="P20" s="40"/>
      <c r="Q20" s="40"/>
    </row>
    <row r="21" spans="3:19">
      <c r="C21" s="211"/>
      <c r="D21" s="217">
        <f>SUM(D17:D20)</f>
        <v>55053811</v>
      </c>
      <c r="O21" s="40"/>
      <c r="P21" s="40"/>
    </row>
    <row r="22" spans="3:19" ht="15.75" thickBot="1">
      <c r="C22" s="213"/>
      <c r="D22" s="214"/>
      <c r="O22" s="40"/>
      <c r="P22" s="40"/>
    </row>
    <row r="23" spans="3:19">
      <c r="E23">
        <f>+'COCIDA 2020'!Q62</f>
        <v>235745442.58999997</v>
      </c>
      <c r="O23" s="40"/>
      <c r="P23" s="40"/>
    </row>
    <row r="24" spans="3:19">
      <c r="E24" s="23">
        <f>+'COCIDA 2021'!Q61</f>
        <v>995506007.25999999</v>
      </c>
      <c r="O24" s="40"/>
      <c r="P24" s="40"/>
    </row>
    <row r="25" spans="3:19">
      <c r="E25" s="23" t="e">
        <f>+#REF!</f>
        <v>#REF!</v>
      </c>
      <c r="O25" s="40"/>
      <c r="P25" s="40"/>
    </row>
    <row r="26" spans="3:19">
      <c r="E26" s="23" t="e">
        <f>+#REF!</f>
        <v>#REF!</v>
      </c>
      <c r="O26" s="40"/>
      <c r="P26" s="40"/>
    </row>
    <row r="27" spans="3:19">
      <c r="E27" s="27" t="e">
        <f>SUM(E23:E26)</f>
        <v>#REF!</v>
      </c>
      <c r="J27">
        <f>73409+126294</f>
        <v>199703</v>
      </c>
      <c r="O27" s="40"/>
      <c r="P27" s="40"/>
    </row>
    <row r="28" spans="3:19">
      <c r="J28">
        <f>4258275+9230828.46</f>
        <v>13489103.460000001</v>
      </c>
    </row>
    <row r="30" spans="3:19">
      <c r="J30">
        <f>19788765.3-16158465.3</f>
        <v>3630300</v>
      </c>
    </row>
    <row r="34" spans="3:12">
      <c r="D34" s="345" t="s">
        <v>58</v>
      </c>
      <c r="E34" s="346" t="s">
        <v>283</v>
      </c>
      <c r="F34" s="346" t="s">
        <v>284</v>
      </c>
      <c r="G34" s="346" t="s">
        <v>285</v>
      </c>
      <c r="H34" s="346" t="s">
        <v>286</v>
      </c>
      <c r="I34" s="346" t="s">
        <v>287</v>
      </c>
      <c r="J34" s="346" t="s">
        <v>288</v>
      </c>
      <c r="K34" s="346" t="s">
        <v>289</v>
      </c>
      <c r="L34" s="346" t="s">
        <v>290</v>
      </c>
    </row>
    <row r="35" spans="3:12">
      <c r="C35" s="132" t="s">
        <v>6</v>
      </c>
      <c r="D35" s="128">
        <f>+E35+F35+G35+H35+I35+J35+K35+L35</f>
        <v>731375</v>
      </c>
      <c r="E35" s="279">
        <v>57097</v>
      </c>
      <c r="F35" s="279">
        <v>68502</v>
      </c>
      <c r="G35" s="279">
        <v>80338</v>
      </c>
      <c r="H35" s="279">
        <v>87662</v>
      </c>
      <c r="I35" s="279">
        <v>92779</v>
      </c>
      <c r="J35" s="280">
        <v>136221</v>
      </c>
      <c r="K35" s="309">
        <v>103776</v>
      </c>
      <c r="L35" s="279">
        <v>105000</v>
      </c>
    </row>
    <row r="36" spans="3:12">
      <c r="C36" s="129" t="s">
        <v>9</v>
      </c>
      <c r="D36" s="128">
        <f t="shared" ref="D36:D39" si="7">+E36+F36+G36+H36+I36+J36+K36+L36</f>
        <v>678448</v>
      </c>
      <c r="E36" s="13">
        <v>62148</v>
      </c>
      <c r="F36" s="13">
        <v>77499</v>
      </c>
      <c r="G36" s="13">
        <v>74252</v>
      </c>
      <c r="H36" s="13">
        <v>81411</v>
      </c>
      <c r="I36" s="13">
        <v>91857</v>
      </c>
      <c r="J36" s="44">
        <v>92296</v>
      </c>
      <c r="K36" s="308">
        <v>108776</v>
      </c>
      <c r="L36" s="13">
        <v>90209</v>
      </c>
    </row>
    <row r="37" spans="3:12">
      <c r="C37" s="132" t="s">
        <v>182</v>
      </c>
      <c r="D37" s="128">
        <f t="shared" si="7"/>
        <v>626734</v>
      </c>
      <c r="E37" s="279">
        <v>48768</v>
      </c>
      <c r="F37" s="279">
        <v>59061</v>
      </c>
      <c r="G37" s="279">
        <v>70758</v>
      </c>
      <c r="H37" s="279">
        <v>86499</v>
      </c>
      <c r="I37" s="279">
        <v>92696</v>
      </c>
      <c r="J37" s="281">
        <v>86070</v>
      </c>
      <c r="K37" s="311">
        <v>104477</v>
      </c>
      <c r="L37" s="279">
        <v>78405</v>
      </c>
    </row>
    <row r="38" spans="3:12">
      <c r="C38" s="129" t="s">
        <v>34</v>
      </c>
      <c r="D38" s="128">
        <f t="shared" si="7"/>
        <v>334551</v>
      </c>
      <c r="E38" s="279">
        <v>27334</v>
      </c>
      <c r="F38" s="279">
        <v>32443</v>
      </c>
      <c r="G38" s="279">
        <v>32035</v>
      </c>
      <c r="H38" s="279">
        <v>34945</v>
      </c>
      <c r="I38" s="279">
        <v>38437</v>
      </c>
      <c r="J38" s="289">
        <v>47202</v>
      </c>
      <c r="K38" s="312">
        <v>61825</v>
      </c>
      <c r="L38" s="290">
        <v>60330</v>
      </c>
    </row>
    <row r="39" spans="3:12">
      <c r="C39" s="132" t="s">
        <v>225</v>
      </c>
      <c r="D39" s="128">
        <f t="shared" si="7"/>
        <v>708095</v>
      </c>
      <c r="E39" s="279">
        <v>42733</v>
      </c>
      <c r="F39" s="279">
        <v>47407</v>
      </c>
      <c r="G39" s="279">
        <v>43475</v>
      </c>
      <c r="H39" s="279">
        <v>74584</v>
      </c>
      <c r="I39" s="279">
        <v>148395</v>
      </c>
      <c r="J39" s="280">
        <v>132773</v>
      </c>
      <c r="K39" s="309">
        <v>118999</v>
      </c>
      <c r="L39" s="279">
        <v>99729</v>
      </c>
    </row>
  </sheetData>
  <mergeCells count="1">
    <mergeCell ref="C2:D2"/>
  </mergeCells>
  <pageMargins left="0.11811023622047245" right="0.11811023622047245" top="0.23622047244094491" bottom="0.15748031496062992" header="0.23622047244094491" footer="0.31496062992125984"/>
  <pageSetup scale="7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8"/>
  <sheetViews>
    <sheetView topLeftCell="G1" workbookViewId="0">
      <selection activeCell="C3" sqref="C3:Q12"/>
    </sheetView>
  </sheetViews>
  <sheetFormatPr baseColWidth="10" defaultRowHeight="15"/>
  <cols>
    <col min="1" max="1" width="0" hidden="1" customWidth="1"/>
    <col min="2" max="2" width="3.5703125" customWidth="1"/>
    <col min="3" max="3" width="25.140625" style="115" customWidth="1"/>
    <col min="4" max="4" width="13.7109375" style="115" customWidth="1"/>
    <col min="5" max="5" width="8" customWidth="1"/>
    <col min="6" max="6" width="12.42578125" customWidth="1"/>
    <col min="7" max="7" width="12.85546875" customWidth="1"/>
    <col min="8" max="9" width="15.85546875" customWidth="1"/>
    <col min="10" max="10" width="16.140625" customWidth="1"/>
    <col min="11" max="11" width="16.42578125" customWidth="1"/>
    <col min="12" max="12" width="16.5703125" customWidth="1"/>
    <col min="13" max="13" width="15.140625" customWidth="1"/>
    <col min="14" max="14" width="16" customWidth="1"/>
    <col min="15" max="15" width="15.42578125" customWidth="1"/>
    <col min="16" max="16" width="12.140625" customWidth="1"/>
    <col min="17" max="17" width="16.85546875" customWidth="1"/>
    <col min="18" max="18" width="17.85546875" style="27" customWidth="1"/>
    <col min="19" max="19" width="18.7109375" customWidth="1"/>
    <col min="20" max="20" width="16.85546875" bestFit="1" customWidth="1"/>
    <col min="21" max="21" width="17.28515625" bestFit="1" customWidth="1"/>
  </cols>
  <sheetData>
    <row r="1" spans="2:24">
      <c r="E1" s="24"/>
    </row>
    <row r="2" spans="2:24" ht="15.75" thickBot="1">
      <c r="G2" s="27">
        <f>+G9/22</f>
        <v>9534.454545454546</v>
      </c>
      <c r="K2" s="27"/>
      <c r="L2" s="16"/>
      <c r="M2" s="27"/>
      <c r="N2" s="27"/>
      <c r="O2" s="27"/>
      <c r="P2" s="27"/>
      <c r="Q2" s="27"/>
    </row>
    <row r="3" spans="2:24" ht="15.75" thickBot="1">
      <c r="C3" s="385" t="s">
        <v>71</v>
      </c>
      <c r="D3" s="386"/>
    </row>
    <row r="4" spans="2:24">
      <c r="B4">
        <v>12</v>
      </c>
      <c r="C4" s="129" t="s">
        <v>156</v>
      </c>
      <c r="D4" s="130">
        <f t="shared" ref="D4:D6" si="0">+Q4</f>
        <v>934356</v>
      </c>
      <c r="E4" s="13"/>
      <c r="F4" s="13">
        <f>6770+86772+25621</f>
        <v>119163</v>
      </c>
      <c r="G4" s="13">
        <v>167444</v>
      </c>
      <c r="H4" s="13">
        <v>104864</v>
      </c>
      <c r="I4" s="13">
        <v>12419</v>
      </c>
      <c r="J4" s="44">
        <v>25268</v>
      </c>
      <c r="K4" s="44">
        <v>37561</v>
      </c>
      <c r="L4" s="13">
        <v>0</v>
      </c>
      <c r="M4" s="13">
        <v>95241</v>
      </c>
      <c r="N4" s="13">
        <v>207054</v>
      </c>
      <c r="O4" s="13">
        <v>157165</v>
      </c>
      <c r="P4" s="13">
        <v>8177</v>
      </c>
      <c r="Q4" s="13">
        <f t="shared" ref="Q4:Q7" si="1">SUM(E4:P4)</f>
        <v>934356</v>
      </c>
      <c r="R4" s="113"/>
      <c r="S4" s="23">
        <f t="shared" ref="S4:S6" si="2">+Q4*R4</f>
        <v>0</v>
      </c>
    </row>
    <row r="5" spans="2:24" s="115" customFormat="1">
      <c r="B5">
        <v>34</v>
      </c>
      <c r="C5" s="132" t="s">
        <v>145</v>
      </c>
      <c r="D5" s="128">
        <f t="shared" si="0"/>
        <v>58026</v>
      </c>
      <c r="E5" s="279"/>
      <c r="F5" s="279">
        <f>428+5380</f>
        <v>5808</v>
      </c>
      <c r="G5" s="279">
        <v>10380</v>
      </c>
      <c r="H5" s="279">
        <v>6820</v>
      </c>
      <c r="I5" s="279">
        <v>4857</v>
      </c>
      <c r="J5" s="280">
        <v>140</v>
      </c>
      <c r="K5" s="280">
        <v>1397</v>
      </c>
      <c r="L5" s="279">
        <v>2552</v>
      </c>
      <c r="M5" s="13">
        <v>7026</v>
      </c>
      <c r="N5" s="13">
        <v>8720</v>
      </c>
      <c r="O5" s="13">
        <v>8447</v>
      </c>
      <c r="P5" s="13">
        <v>1879</v>
      </c>
      <c r="Q5" s="13">
        <f t="shared" si="1"/>
        <v>58026</v>
      </c>
      <c r="R5" s="113"/>
      <c r="S5" s="23">
        <f t="shared" si="2"/>
        <v>0</v>
      </c>
    </row>
    <row r="6" spans="2:24" s="115" customFormat="1" ht="13.5" customHeight="1">
      <c r="B6">
        <v>46</v>
      </c>
      <c r="C6" s="132" t="s">
        <v>146</v>
      </c>
      <c r="D6" s="128">
        <f t="shared" si="0"/>
        <v>37145</v>
      </c>
      <c r="E6" s="279"/>
      <c r="F6" s="279">
        <f>105+2270</f>
        <v>2375</v>
      </c>
      <c r="G6" s="279">
        <v>10470</v>
      </c>
      <c r="H6" s="279">
        <v>6869</v>
      </c>
      <c r="I6" s="279">
        <v>3535</v>
      </c>
      <c r="J6" s="280">
        <v>1550</v>
      </c>
      <c r="K6" s="280">
        <v>1680</v>
      </c>
      <c r="L6" s="279">
        <v>460</v>
      </c>
      <c r="M6" s="13">
        <v>2640</v>
      </c>
      <c r="N6" s="13">
        <v>3560</v>
      </c>
      <c r="O6" s="13">
        <v>2876</v>
      </c>
      <c r="P6" s="13">
        <v>1130</v>
      </c>
      <c r="Q6" s="13">
        <f t="shared" si="1"/>
        <v>37145</v>
      </c>
      <c r="R6" s="113"/>
      <c r="S6" s="23">
        <f t="shared" si="2"/>
        <v>0</v>
      </c>
    </row>
    <row r="7" spans="2:24" s="115" customFormat="1">
      <c r="B7">
        <v>62</v>
      </c>
      <c r="C7" s="132" t="s">
        <v>232</v>
      </c>
      <c r="D7" s="128">
        <f>+Q7</f>
        <v>5453</v>
      </c>
      <c r="E7" s="279"/>
      <c r="F7" s="279"/>
      <c r="G7" s="279"/>
      <c r="H7" s="279"/>
      <c r="I7" s="279"/>
      <c r="J7" s="281"/>
      <c r="K7" s="281"/>
      <c r="L7" s="288"/>
      <c r="M7" s="14"/>
      <c r="N7" s="14"/>
      <c r="O7" s="14">
        <v>3207</v>
      </c>
      <c r="P7" s="13">
        <v>2246</v>
      </c>
      <c r="Q7" s="13">
        <f t="shared" si="1"/>
        <v>5453</v>
      </c>
      <c r="R7" s="113"/>
      <c r="S7" s="23"/>
    </row>
    <row r="8" spans="2:24" s="115" customFormat="1">
      <c r="B8">
        <v>68</v>
      </c>
      <c r="C8" s="132" t="s">
        <v>167</v>
      </c>
      <c r="D8" s="128">
        <f>Q8</f>
        <v>61974</v>
      </c>
      <c r="E8" s="279"/>
      <c r="F8" s="279">
        <f>259+1517</f>
        <v>1776</v>
      </c>
      <c r="G8" s="279">
        <v>21464</v>
      </c>
      <c r="H8" s="279">
        <v>12900</v>
      </c>
      <c r="I8" s="279">
        <v>740</v>
      </c>
      <c r="J8" s="280">
        <v>1602</v>
      </c>
      <c r="K8" s="280">
        <v>300</v>
      </c>
      <c r="L8" s="279">
        <v>220</v>
      </c>
      <c r="M8" s="13">
        <v>0</v>
      </c>
      <c r="N8" s="13">
        <v>9026</v>
      </c>
      <c r="O8" s="13">
        <v>12211</v>
      </c>
      <c r="P8" s="13">
        <v>1735</v>
      </c>
      <c r="Q8" s="13">
        <f t="shared" ref="Q8" si="3">SUM(E8:P8)</f>
        <v>61974</v>
      </c>
      <c r="R8" s="113"/>
      <c r="S8" s="23">
        <f t="shared" ref="S8" si="4">+Q8*R8</f>
        <v>0</v>
      </c>
    </row>
    <row r="9" spans="2:24" ht="15.75" thickBot="1">
      <c r="C9" s="135" t="s">
        <v>47</v>
      </c>
      <c r="D9" s="136">
        <f t="shared" ref="D9:P9" si="5">SUM(D4:D8)</f>
        <v>1096954</v>
      </c>
      <c r="E9" s="45">
        <f t="shared" si="5"/>
        <v>0</v>
      </c>
      <c r="F9" s="45">
        <f t="shared" si="5"/>
        <v>129122</v>
      </c>
      <c r="G9" s="45">
        <f t="shared" si="5"/>
        <v>209758</v>
      </c>
      <c r="H9" s="45">
        <f t="shared" si="5"/>
        <v>131453</v>
      </c>
      <c r="I9" s="45">
        <f t="shared" si="5"/>
        <v>21551</v>
      </c>
      <c r="J9" s="137">
        <f t="shared" si="5"/>
        <v>28560</v>
      </c>
      <c r="K9" s="220">
        <f t="shared" si="5"/>
        <v>40938</v>
      </c>
      <c r="L9" s="137">
        <f t="shared" si="5"/>
        <v>3232</v>
      </c>
      <c r="M9" s="137">
        <f t="shared" si="5"/>
        <v>104907</v>
      </c>
      <c r="N9" s="137">
        <f t="shared" si="5"/>
        <v>228360</v>
      </c>
      <c r="O9" s="137">
        <f t="shared" si="5"/>
        <v>183906</v>
      </c>
      <c r="P9" s="137">
        <f t="shared" si="5"/>
        <v>15167</v>
      </c>
      <c r="Q9" s="45">
        <f>SUM(E9:P9)</f>
        <v>1096954</v>
      </c>
      <c r="R9" s="27">
        <f>+'[2]BENEFICIARIO PR.TRIMESTRE'!$N$90</f>
        <v>2758099</v>
      </c>
      <c r="S9" s="23">
        <f>SUM(S4:S8)</f>
        <v>0</v>
      </c>
    </row>
    <row r="10" spans="2:24" ht="15.75" thickBot="1">
      <c r="C10" s="138"/>
      <c r="D10" s="139">
        <f>SUM(D4:D9)</f>
        <v>2193908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T10" s="23"/>
    </row>
    <row r="11" spans="2:24" ht="21" customHeight="1">
      <c r="C11" s="285"/>
      <c r="D11" s="113"/>
      <c r="E11" s="143">
        <v>76.23</v>
      </c>
      <c r="F11" s="143">
        <v>76.39</v>
      </c>
      <c r="G11" s="143">
        <v>71.05</v>
      </c>
      <c r="H11" s="143">
        <v>75.94</v>
      </c>
      <c r="I11" s="143">
        <v>68.33</v>
      </c>
      <c r="J11" s="113">
        <v>70.48</v>
      </c>
      <c r="K11" s="143">
        <v>66.680000000000007</v>
      </c>
      <c r="L11" s="143">
        <f>+'[3]BENEFICIARIO PR.TRIMESTRE'!$M$91</f>
        <v>66.05</v>
      </c>
      <c r="M11" s="143">
        <v>66.66</v>
      </c>
      <c r="N11" s="143">
        <v>78.31</v>
      </c>
      <c r="O11" s="143">
        <v>79.2</v>
      </c>
      <c r="P11" s="143">
        <v>55.78</v>
      </c>
      <c r="Q11" s="223"/>
      <c r="S11" s="225"/>
      <c r="U11" s="145"/>
      <c r="V11" s="146"/>
      <c r="W11" s="147"/>
    </row>
    <row r="12" spans="2:24" ht="15.75">
      <c r="C12" s="285"/>
      <c r="D12" s="140"/>
      <c r="E12" s="148">
        <f>E11*E9</f>
        <v>0</v>
      </c>
      <c r="F12" s="149">
        <f>F9*F11</f>
        <v>9863629.5800000001</v>
      </c>
      <c r="G12" s="149">
        <f>G9*G11</f>
        <v>14903305.899999999</v>
      </c>
      <c r="H12" s="150">
        <f>+H11*H9</f>
        <v>9982540.8200000003</v>
      </c>
      <c r="I12" s="150">
        <f>I9*68.33</f>
        <v>1472579.83</v>
      </c>
      <c r="J12" s="151">
        <f>J9*J11</f>
        <v>2012908.8</v>
      </c>
      <c r="K12" s="150">
        <f>+K9*K11</f>
        <v>2729745.8400000003</v>
      </c>
      <c r="L12" s="151">
        <f>+L9*L11</f>
        <v>213473.59999999998</v>
      </c>
      <c r="M12" s="151">
        <f>+M9*M11</f>
        <v>6993100.6199999992</v>
      </c>
      <c r="N12" s="151">
        <f>+N9*N11</f>
        <v>17882871.600000001</v>
      </c>
      <c r="O12" s="151">
        <f>+O9*79.2</f>
        <v>14565355.200000001</v>
      </c>
      <c r="P12" s="151">
        <f>+P9*55.78</f>
        <v>846015.26</v>
      </c>
      <c r="Q12" s="141">
        <f>SUM(E12:P12)</f>
        <v>81465527.049999997</v>
      </c>
      <c r="R12" s="27">
        <f>571.13/9</f>
        <v>63.458888888888886</v>
      </c>
      <c r="S12" s="23"/>
      <c r="T12" s="23" t="e">
        <f>+#REF!+#REF!+#REF!</f>
        <v>#REF!</v>
      </c>
      <c r="U12" s="152"/>
      <c r="V12" s="153"/>
      <c r="W12" s="154"/>
    </row>
    <row r="13" spans="2:24">
      <c r="S13" s="224"/>
      <c r="U13" s="155"/>
      <c r="V13" s="156"/>
      <c r="W13" s="154"/>
    </row>
    <row r="14" spans="2:24">
      <c r="I14" s="164"/>
      <c r="J14" s="27"/>
      <c r="K14" s="24"/>
      <c r="M14" s="23">
        <f>+'[1]RELACION COCIDA 2022'!$N$73</f>
        <v>0</v>
      </c>
      <c r="Q14">
        <f>+Q12/Q9</f>
        <v>74.265217183218255</v>
      </c>
      <c r="S14" s="23"/>
      <c r="U14">
        <v>227794</v>
      </c>
    </row>
    <row r="15" spans="2:24" ht="28.5" customHeight="1">
      <c r="E15" s="42"/>
      <c r="F15" s="42"/>
      <c r="G15" s="42"/>
      <c r="H15" s="42"/>
      <c r="I15" s="56"/>
      <c r="J15" s="206"/>
      <c r="K15" s="206"/>
      <c r="L15" s="206"/>
      <c r="M15" s="206"/>
      <c r="N15" s="206"/>
      <c r="O15" s="206"/>
      <c r="P15" s="206"/>
      <c r="Q15" s="54"/>
      <c r="S15" s="226"/>
      <c r="U15" s="292">
        <f>SUM(U14:U14)</f>
        <v>227794</v>
      </c>
      <c r="X15" s="24"/>
    </row>
    <row r="16" spans="2:24" ht="15.75" thickBot="1">
      <c r="E16" s="42"/>
      <c r="F16" s="42"/>
      <c r="G16" s="287" t="s">
        <v>223</v>
      </c>
      <c r="H16" s="42"/>
      <c r="I16" s="56"/>
      <c r="J16" s="215"/>
      <c r="K16" s="215"/>
      <c r="L16" s="207"/>
      <c r="M16" s="215"/>
      <c r="N16" s="215"/>
      <c r="O16" s="215"/>
      <c r="P16" s="215"/>
      <c r="Q16" s="42"/>
      <c r="X16" s="24"/>
    </row>
    <row r="17" spans="3:24" ht="15.75">
      <c r="C17" s="209"/>
      <c r="D17" s="210"/>
      <c r="E17" s="216"/>
      <c r="F17" s="42"/>
      <c r="G17" s="286">
        <f>+D9</f>
        <v>1096954</v>
      </c>
      <c r="H17" s="42"/>
      <c r="I17" s="56"/>
      <c r="J17" s="215"/>
      <c r="K17" s="219"/>
      <c r="L17" s="215"/>
      <c r="M17" s="215"/>
      <c r="N17" s="205"/>
      <c r="O17" s="205"/>
      <c r="P17" s="205"/>
      <c r="Q17" s="48"/>
      <c r="S17" s="161"/>
      <c r="X17" s="24"/>
    </row>
    <row r="18" spans="3:24">
      <c r="C18" s="211">
        <v>2020</v>
      </c>
      <c r="D18" s="212">
        <f>2754727+804004</f>
        <v>3558731</v>
      </c>
      <c r="E18" s="42"/>
      <c r="F18" s="42"/>
      <c r="G18" s="42"/>
      <c r="H18" s="286">
        <f>+D4+D5+D6+D7+D8</f>
        <v>1096954</v>
      </c>
      <c r="I18" s="56"/>
      <c r="J18" s="215"/>
      <c r="K18" s="215"/>
      <c r="L18" s="215"/>
      <c r="M18" s="215"/>
      <c r="N18" s="165"/>
      <c r="O18" s="165"/>
      <c r="P18" s="165"/>
      <c r="Q18" s="42"/>
      <c r="R18" s="23"/>
      <c r="S18" s="23"/>
    </row>
    <row r="19" spans="3:24">
      <c r="C19" s="211">
        <v>2021</v>
      </c>
      <c r="D19" s="212">
        <f>13673247+2036635</f>
        <v>15709882</v>
      </c>
      <c r="E19" s="42"/>
      <c r="F19" s="42"/>
      <c r="G19" s="42"/>
      <c r="H19" s="286">
        <f>+D9-H18</f>
        <v>0</v>
      </c>
      <c r="I19" s="56"/>
      <c r="J19" s="215"/>
      <c r="K19" s="215"/>
      <c r="L19" s="215"/>
      <c r="M19" s="215"/>
      <c r="N19" s="207"/>
      <c r="O19" s="207"/>
      <c r="P19" s="207"/>
      <c r="Q19" s="42"/>
    </row>
    <row r="20" spans="3:24">
      <c r="C20" s="211">
        <v>2022</v>
      </c>
      <c r="D20" s="212">
        <f>31620972+3655160</f>
        <v>35276132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3:24">
      <c r="C21" s="211">
        <v>2023</v>
      </c>
      <c r="D21" s="212">
        <f>+D9</f>
        <v>1096954</v>
      </c>
    </row>
    <row r="22" spans="3:24">
      <c r="C22" s="211"/>
      <c r="D22" s="217">
        <f>SUM(D18:D21)</f>
        <v>55641699</v>
      </c>
    </row>
    <row r="23" spans="3:24" ht="15.75" thickBot="1">
      <c r="C23" s="213"/>
      <c r="D23" s="214"/>
    </row>
    <row r="24" spans="3:24">
      <c r="E24">
        <f>+'COCIDA 2020'!Q62</f>
        <v>235745442.58999997</v>
      </c>
    </row>
    <row r="25" spans="3:24">
      <c r="E25" s="23">
        <f>+'COCIDA 2021'!Q61</f>
        <v>995506007.25999999</v>
      </c>
    </row>
    <row r="26" spans="3:24">
      <c r="E26" s="23" t="e">
        <f>+#REF!</f>
        <v>#REF!</v>
      </c>
    </row>
    <row r="27" spans="3:24">
      <c r="E27" s="23" t="e">
        <f>+#REF!</f>
        <v>#REF!</v>
      </c>
    </row>
    <row r="28" spans="3:24">
      <c r="E28" s="27" t="e">
        <f>SUM(E24:E27)</f>
        <v>#REF!</v>
      </c>
    </row>
  </sheetData>
  <mergeCells count="1">
    <mergeCell ref="C3:D3"/>
  </mergeCells>
  <pageMargins left="0.11811023622047245" right="0.11811023622047245" top="0.23622047244094491" bottom="0.15748031496062992" header="0.23622047244094491" footer="0.31496062992125984"/>
  <pageSetup paperSize="5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83"/>
  <sheetViews>
    <sheetView tabSelected="1" topLeftCell="B1" workbookViewId="0">
      <selection activeCell="D147" sqref="C3:D147"/>
    </sheetView>
  </sheetViews>
  <sheetFormatPr baseColWidth="10" defaultRowHeight="15"/>
  <cols>
    <col min="1" max="1" width="0" hidden="1" customWidth="1"/>
    <col min="2" max="2" width="3.5703125" customWidth="1"/>
    <col min="3" max="3" width="25.140625" style="115" customWidth="1"/>
    <col min="4" max="4" width="13.7109375" style="115" customWidth="1"/>
    <col min="5" max="5" width="15.7109375" customWidth="1"/>
    <col min="6" max="6" width="15.5703125" customWidth="1"/>
    <col min="7" max="7" width="16.28515625" customWidth="1"/>
    <col min="8" max="9" width="15.85546875" customWidth="1"/>
    <col min="10" max="10" width="16.140625" customWidth="1"/>
    <col min="11" max="11" width="16.28515625" customWidth="1"/>
    <col min="12" max="12" width="16.5703125" customWidth="1"/>
    <col min="13" max="13" width="15.140625" customWidth="1"/>
    <col min="14" max="14" width="16" customWidth="1"/>
    <col min="15" max="15" width="15.42578125" customWidth="1"/>
    <col min="16" max="16" width="17" customWidth="1"/>
    <col min="17" max="17" width="16.85546875" customWidth="1"/>
    <col min="18" max="18" width="17.85546875" style="27" customWidth="1"/>
    <col min="19" max="19" width="18.7109375" customWidth="1"/>
    <col min="20" max="20" width="16.85546875" bestFit="1" customWidth="1"/>
    <col min="21" max="21" width="17.28515625" bestFit="1" customWidth="1"/>
  </cols>
  <sheetData>
    <row r="1" spans="3:19">
      <c r="E1" s="24"/>
    </row>
    <row r="2" spans="3:19" ht="15.75" thickBot="1">
      <c r="G2" s="27">
        <f>+G147/22</f>
        <v>114134.27272727272</v>
      </c>
      <c r="H2">
        <f>77226+175612</f>
        <v>252838</v>
      </c>
      <c r="K2" s="27"/>
      <c r="L2" s="16"/>
      <c r="M2" s="27"/>
      <c r="N2" s="27"/>
      <c r="O2" s="27"/>
      <c r="P2" s="27"/>
      <c r="Q2" s="27"/>
    </row>
    <row r="3" spans="3:19" ht="15.75" thickBot="1">
      <c r="C3" s="391" t="s">
        <v>71</v>
      </c>
      <c r="D3" s="392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</row>
    <row r="4" spans="3:19" ht="15.75" thickBot="1">
      <c r="C4" s="389" t="s">
        <v>263</v>
      </c>
      <c r="D4" s="390"/>
      <c r="E4" s="325" t="s">
        <v>48</v>
      </c>
      <c r="F4" s="326" t="s">
        <v>49</v>
      </c>
      <c r="G4" s="326" t="s">
        <v>50</v>
      </c>
      <c r="H4" s="326" t="s">
        <v>51</v>
      </c>
      <c r="I4" s="326" t="s">
        <v>52</v>
      </c>
      <c r="J4" s="326" t="s">
        <v>53</v>
      </c>
      <c r="K4" s="326" t="s">
        <v>54</v>
      </c>
      <c r="L4" s="327" t="s">
        <v>55</v>
      </c>
      <c r="M4" s="259" t="s">
        <v>140</v>
      </c>
      <c r="N4" s="259" t="s">
        <v>57</v>
      </c>
      <c r="O4" s="259" t="s">
        <v>66</v>
      </c>
      <c r="P4" s="259" t="s">
        <v>67</v>
      </c>
      <c r="Q4" s="326" t="s">
        <v>58</v>
      </c>
    </row>
    <row r="5" spans="3:19">
      <c r="C5" s="300" t="s">
        <v>2</v>
      </c>
      <c r="D5" s="301">
        <f>+Q5</f>
        <v>1415057</v>
      </c>
      <c r="E5" s="315">
        <v>206639</v>
      </c>
      <c r="F5" s="121">
        <f>69987+151929</f>
        <v>221916</v>
      </c>
      <c r="G5" s="121">
        <v>252838</v>
      </c>
      <c r="H5" s="121">
        <f>179480+74068</f>
        <v>253548</v>
      </c>
      <c r="I5" s="121">
        <f>198985+79310</f>
        <v>278295</v>
      </c>
      <c r="J5" s="122">
        <f>71684+130137</f>
        <v>201821</v>
      </c>
      <c r="K5" s="121"/>
      <c r="L5" s="121"/>
      <c r="M5" s="122"/>
      <c r="N5" s="122"/>
      <c r="O5" s="122"/>
      <c r="P5" s="122"/>
      <c r="Q5" s="13">
        <f>SUM(E5:P5)</f>
        <v>1415057</v>
      </c>
      <c r="S5" s="23"/>
    </row>
    <row r="6" spans="3:19">
      <c r="C6" s="317" t="s">
        <v>245</v>
      </c>
      <c r="D6" s="128">
        <f>E6+F6+G6+H6+I6+J6+K6+L6+M6+N6+O6+P6</f>
        <v>43301</v>
      </c>
      <c r="E6" s="316"/>
      <c r="F6" s="121"/>
      <c r="G6" s="121"/>
      <c r="H6" s="121"/>
      <c r="I6" s="121"/>
      <c r="J6" s="122"/>
      <c r="K6" s="121">
        <v>15031</v>
      </c>
      <c r="L6" s="121">
        <v>14636</v>
      </c>
      <c r="M6" s="122">
        <v>13634</v>
      </c>
      <c r="N6" s="122"/>
      <c r="O6" s="122"/>
      <c r="P6" s="122"/>
      <c r="Q6" s="13">
        <f t="shared" ref="Q6:Q21" si="0">SUM(E6:P6)</f>
        <v>43301</v>
      </c>
      <c r="S6" s="23"/>
    </row>
    <row r="7" spans="3:19">
      <c r="C7" s="317" t="s">
        <v>246</v>
      </c>
      <c r="D7" s="128">
        <f t="shared" ref="D7:D21" si="1">E7+F7+G7+H7+I7+J7+K7+L7+M7+N7+O7+P7</f>
        <v>44034</v>
      </c>
      <c r="E7" s="316"/>
      <c r="F7" s="121"/>
      <c r="G7" s="121"/>
      <c r="H7" s="121"/>
      <c r="I7" s="121"/>
      <c r="J7" s="122"/>
      <c r="K7" s="121">
        <v>15147</v>
      </c>
      <c r="L7" s="121">
        <v>15067</v>
      </c>
      <c r="M7" s="122">
        <v>13820</v>
      </c>
      <c r="N7" s="122"/>
      <c r="O7" s="122"/>
      <c r="P7" s="122"/>
      <c r="Q7" s="13">
        <f t="shared" si="0"/>
        <v>44034</v>
      </c>
      <c r="S7" s="23"/>
    </row>
    <row r="8" spans="3:19">
      <c r="C8" s="317" t="s">
        <v>247</v>
      </c>
      <c r="D8" s="128">
        <f t="shared" si="1"/>
        <v>26295</v>
      </c>
      <c r="E8" s="316"/>
      <c r="F8" s="121"/>
      <c r="G8" s="121"/>
      <c r="H8" s="121"/>
      <c r="I8" s="121"/>
      <c r="J8" s="122"/>
      <c r="K8" s="121">
        <v>5605</v>
      </c>
      <c r="L8" s="121">
        <v>8600</v>
      </c>
      <c r="M8" s="122">
        <v>12090</v>
      </c>
      <c r="N8" s="122"/>
      <c r="O8" s="122"/>
      <c r="P8" s="122"/>
      <c r="Q8" s="13">
        <f t="shared" si="0"/>
        <v>26295</v>
      </c>
      <c r="S8" s="23"/>
    </row>
    <row r="9" spans="3:19">
      <c r="C9" s="317" t="s">
        <v>248</v>
      </c>
      <c r="D9" s="128">
        <f t="shared" si="1"/>
        <v>27455</v>
      </c>
      <c r="E9" s="316"/>
      <c r="F9" s="121"/>
      <c r="G9" s="121"/>
      <c r="H9" s="121"/>
      <c r="I9" s="121"/>
      <c r="J9" s="122"/>
      <c r="K9" s="121">
        <v>6280</v>
      </c>
      <c r="L9" s="121">
        <v>10200</v>
      </c>
      <c r="M9" s="122">
        <v>10975</v>
      </c>
      <c r="N9" s="122"/>
      <c r="O9" s="122"/>
      <c r="P9" s="122"/>
      <c r="Q9" s="13">
        <f t="shared" si="0"/>
        <v>27455</v>
      </c>
      <c r="S9" s="23"/>
    </row>
    <row r="10" spans="3:19">
      <c r="C10" s="317" t="s">
        <v>249</v>
      </c>
      <c r="D10" s="128">
        <f t="shared" si="1"/>
        <v>19842</v>
      </c>
      <c r="E10" s="316"/>
      <c r="F10" s="121"/>
      <c r="G10" s="121"/>
      <c r="H10" s="121"/>
      <c r="I10" s="121"/>
      <c r="J10" s="122"/>
      <c r="K10" s="121">
        <v>3655</v>
      </c>
      <c r="L10" s="121">
        <v>10782</v>
      </c>
      <c r="M10" s="122">
        <v>5405</v>
      </c>
      <c r="N10" s="122"/>
      <c r="O10" s="122"/>
      <c r="P10" s="122"/>
      <c r="Q10" s="13">
        <f t="shared" si="0"/>
        <v>19842</v>
      </c>
      <c r="S10" s="23"/>
    </row>
    <row r="11" spans="3:19">
      <c r="C11" s="317" t="s">
        <v>250</v>
      </c>
      <c r="D11" s="128">
        <f t="shared" si="1"/>
        <v>41613</v>
      </c>
      <c r="E11" s="316"/>
      <c r="F11" s="121"/>
      <c r="G11" s="121"/>
      <c r="H11" s="121"/>
      <c r="I11" s="121"/>
      <c r="J11" s="122"/>
      <c r="K11" s="121">
        <v>6510</v>
      </c>
      <c r="L11" s="121">
        <f>6250+12060</f>
        <v>18310</v>
      </c>
      <c r="M11" s="122">
        <v>16793</v>
      </c>
      <c r="N11" s="122"/>
      <c r="O11" s="122"/>
      <c r="P11" s="122"/>
      <c r="Q11" s="13">
        <f t="shared" si="0"/>
        <v>41613</v>
      </c>
      <c r="S11" s="23"/>
    </row>
    <row r="12" spans="3:19">
      <c r="C12" s="317" t="s">
        <v>251</v>
      </c>
      <c r="D12" s="128">
        <f t="shared" si="1"/>
        <v>27820</v>
      </c>
      <c r="E12" s="316"/>
      <c r="F12" s="121"/>
      <c r="G12" s="121"/>
      <c r="H12" s="121"/>
      <c r="I12" s="121"/>
      <c r="J12" s="122"/>
      <c r="K12" s="121">
        <v>8865</v>
      </c>
      <c r="L12" s="121">
        <v>10140</v>
      </c>
      <c r="M12" s="122">
        <v>8815</v>
      </c>
      <c r="N12" s="122"/>
      <c r="O12" s="122"/>
      <c r="P12" s="122"/>
      <c r="Q12" s="13">
        <f t="shared" si="0"/>
        <v>27820</v>
      </c>
      <c r="S12" s="23"/>
    </row>
    <row r="13" spans="3:19">
      <c r="C13" s="317" t="s">
        <v>252</v>
      </c>
      <c r="D13" s="128">
        <f t="shared" si="1"/>
        <v>33118</v>
      </c>
      <c r="E13" s="316"/>
      <c r="F13" s="121"/>
      <c r="G13" s="121"/>
      <c r="H13" s="121"/>
      <c r="I13" s="121"/>
      <c r="J13" s="122"/>
      <c r="K13" s="121">
        <v>11205</v>
      </c>
      <c r="L13" s="121">
        <v>11438</v>
      </c>
      <c r="M13" s="122">
        <v>10475</v>
      </c>
      <c r="N13" s="122"/>
      <c r="O13" s="122"/>
      <c r="P13" s="122"/>
      <c r="Q13" s="13">
        <f t="shared" si="0"/>
        <v>33118</v>
      </c>
      <c r="S13" s="23"/>
    </row>
    <row r="14" spans="3:19">
      <c r="C14" s="317" t="s">
        <v>253</v>
      </c>
      <c r="D14" s="128">
        <f t="shared" si="1"/>
        <v>26061</v>
      </c>
      <c r="E14" s="316"/>
      <c r="F14" s="121"/>
      <c r="G14" s="121"/>
      <c r="H14" s="121"/>
      <c r="I14" s="121"/>
      <c r="J14" s="122"/>
      <c r="K14" s="121">
        <v>8521</v>
      </c>
      <c r="L14" s="121">
        <v>9455</v>
      </c>
      <c r="M14" s="122">
        <v>8085</v>
      </c>
      <c r="N14" s="122"/>
      <c r="O14" s="122"/>
      <c r="P14" s="122"/>
      <c r="Q14" s="13">
        <f t="shared" si="0"/>
        <v>26061</v>
      </c>
      <c r="S14" s="23"/>
    </row>
    <row r="15" spans="3:19">
      <c r="C15" s="317" t="s">
        <v>254</v>
      </c>
      <c r="D15" s="128">
        <f t="shared" si="1"/>
        <v>29110</v>
      </c>
      <c r="E15" s="316"/>
      <c r="F15" s="121"/>
      <c r="G15" s="121"/>
      <c r="H15" s="121"/>
      <c r="I15" s="121"/>
      <c r="J15" s="122"/>
      <c r="K15" s="121">
        <v>6970</v>
      </c>
      <c r="L15" s="121">
        <v>11805</v>
      </c>
      <c r="M15" s="122">
        <v>10335</v>
      </c>
      <c r="N15" s="122"/>
      <c r="O15" s="122"/>
      <c r="P15" s="122"/>
      <c r="Q15" s="13">
        <f t="shared" si="0"/>
        <v>29110</v>
      </c>
      <c r="S15" s="23"/>
    </row>
    <row r="16" spans="3:19">
      <c r="C16" s="317" t="s">
        <v>255</v>
      </c>
      <c r="D16" s="128">
        <f t="shared" si="1"/>
        <v>41240</v>
      </c>
      <c r="E16" s="316"/>
      <c r="F16" s="121"/>
      <c r="G16" s="121"/>
      <c r="H16" s="121"/>
      <c r="I16" s="121"/>
      <c r="J16" s="122"/>
      <c r="K16" s="121">
        <v>18175</v>
      </c>
      <c r="L16" s="121">
        <v>12735</v>
      </c>
      <c r="M16" s="122">
        <v>10330</v>
      </c>
      <c r="N16" s="122"/>
      <c r="O16" s="122"/>
      <c r="P16" s="122"/>
      <c r="Q16" s="13">
        <f t="shared" si="0"/>
        <v>41240</v>
      </c>
      <c r="S16" s="23"/>
    </row>
    <row r="17" spans="3:20">
      <c r="C17" s="317" t="s">
        <v>256</v>
      </c>
      <c r="D17" s="128">
        <f t="shared" si="1"/>
        <v>21700</v>
      </c>
      <c r="E17" s="316"/>
      <c r="F17" s="121"/>
      <c r="G17" s="121"/>
      <c r="H17" s="121"/>
      <c r="I17" s="121"/>
      <c r="J17" s="122"/>
      <c r="K17" s="121">
        <v>6475</v>
      </c>
      <c r="L17" s="121">
        <v>8355</v>
      </c>
      <c r="M17" s="122">
        <v>6870</v>
      </c>
      <c r="N17" s="122"/>
      <c r="O17" s="122"/>
      <c r="P17" s="122"/>
      <c r="Q17" s="13">
        <f t="shared" si="0"/>
        <v>21700</v>
      </c>
      <c r="S17" s="23"/>
    </row>
    <row r="18" spans="3:20">
      <c r="C18" s="317" t="s">
        <v>257</v>
      </c>
      <c r="D18" s="128">
        <f t="shared" si="1"/>
        <v>36640</v>
      </c>
      <c r="E18" s="316"/>
      <c r="F18" s="121"/>
      <c r="G18" s="121"/>
      <c r="H18" s="121"/>
      <c r="I18" s="121"/>
      <c r="J18" s="122"/>
      <c r="K18" s="121">
        <v>2860</v>
      </c>
      <c r="L18" s="121">
        <v>26025</v>
      </c>
      <c r="M18" s="122">
        <v>7755</v>
      </c>
      <c r="N18" s="122"/>
      <c r="O18" s="122"/>
      <c r="P18" s="122"/>
      <c r="Q18" s="13">
        <f t="shared" si="0"/>
        <v>36640</v>
      </c>
      <c r="S18" s="23"/>
    </row>
    <row r="19" spans="3:20">
      <c r="C19" s="317" t="s">
        <v>258</v>
      </c>
      <c r="D19" s="128">
        <f t="shared" si="1"/>
        <v>30831</v>
      </c>
      <c r="E19" s="316"/>
      <c r="F19" s="121"/>
      <c r="G19" s="121"/>
      <c r="H19" s="121"/>
      <c r="I19" s="121"/>
      <c r="J19" s="122"/>
      <c r="K19" s="121">
        <v>4915</v>
      </c>
      <c r="L19" s="121">
        <v>12766</v>
      </c>
      <c r="M19" s="122">
        <v>13150</v>
      </c>
      <c r="N19" s="122"/>
      <c r="O19" s="122"/>
      <c r="P19" s="122"/>
      <c r="Q19" s="13">
        <f t="shared" si="0"/>
        <v>30831</v>
      </c>
      <c r="S19" s="23"/>
    </row>
    <row r="20" spans="3:20">
      <c r="C20" s="317" t="s">
        <v>259</v>
      </c>
      <c r="D20" s="128">
        <f t="shared" si="1"/>
        <v>45435</v>
      </c>
      <c r="E20" s="316"/>
      <c r="F20" s="121"/>
      <c r="G20" s="121"/>
      <c r="H20" s="121"/>
      <c r="I20" s="121"/>
      <c r="J20" s="122"/>
      <c r="K20" s="121">
        <v>6080</v>
      </c>
      <c r="L20" s="121">
        <v>29085</v>
      </c>
      <c r="M20" s="122">
        <v>10270</v>
      </c>
      <c r="N20" s="122"/>
      <c r="O20" s="122"/>
      <c r="P20" s="122"/>
      <c r="Q20" s="13">
        <f t="shared" si="0"/>
        <v>45435</v>
      </c>
      <c r="S20" s="23"/>
    </row>
    <row r="21" spans="3:20">
      <c r="C21" s="317" t="s">
        <v>260</v>
      </c>
      <c r="D21" s="128">
        <f t="shared" si="1"/>
        <v>217853</v>
      </c>
      <c r="E21" s="316"/>
      <c r="F21" s="121"/>
      <c r="G21" s="121"/>
      <c r="H21" s="121"/>
      <c r="I21" s="121"/>
      <c r="J21" s="122"/>
      <c r="K21" s="121">
        <f>7186+53133+13090</f>
        <v>73409</v>
      </c>
      <c r="L21" s="121">
        <f>7007+53099+13013</f>
        <v>73119</v>
      </c>
      <c r="M21" s="122">
        <f>6868+52049+12408</f>
        <v>71325</v>
      </c>
      <c r="N21" s="122"/>
      <c r="O21" s="122"/>
      <c r="P21" s="122"/>
      <c r="Q21" s="13">
        <f t="shared" si="0"/>
        <v>217853</v>
      </c>
      <c r="S21" s="23"/>
    </row>
    <row r="22" spans="3:20" ht="15.75" thickBot="1">
      <c r="C22" s="318"/>
      <c r="D22" s="319"/>
      <c r="E22" s="314"/>
      <c r="F22" s="121"/>
      <c r="G22" s="121"/>
      <c r="H22" s="121"/>
      <c r="I22" s="121"/>
      <c r="J22" s="122"/>
      <c r="K22" s="121"/>
      <c r="L22" s="121"/>
      <c r="M22" s="122"/>
      <c r="N22" s="122"/>
      <c r="O22" s="122"/>
      <c r="P22" s="122"/>
      <c r="Q22" s="13"/>
      <c r="S22" s="23"/>
    </row>
    <row r="23" spans="3:20" ht="15.75" thickBot="1">
      <c r="C23" s="321" t="s">
        <v>261</v>
      </c>
      <c r="D23" s="320">
        <f>SUM(D5:D22)</f>
        <v>2127405</v>
      </c>
      <c r="E23" s="322">
        <f>131537+75102</f>
        <v>206639</v>
      </c>
      <c r="F23" s="323">
        <v>221916</v>
      </c>
      <c r="G23" s="323">
        <f>+G5</f>
        <v>252838</v>
      </c>
      <c r="H23" s="323">
        <f>+H5</f>
        <v>253548</v>
      </c>
      <c r="I23" s="323">
        <f>+I5</f>
        <v>278295</v>
      </c>
      <c r="J23" s="323">
        <f>+J5</f>
        <v>201821</v>
      </c>
      <c r="K23" s="323">
        <f>SUM(K6:K22)</f>
        <v>199703</v>
      </c>
      <c r="L23" s="323">
        <f>SUM(L6:L22)</f>
        <v>282518</v>
      </c>
      <c r="M23" s="323">
        <f>SUM(M5:M22)</f>
        <v>230127</v>
      </c>
      <c r="N23" s="323"/>
      <c r="O23" s="323"/>
      <c r="P23" s="323"/>
      <c r="Q23" s="324">
        <f>SUM(E23:P23)</f>
        <v>2127405</v>
      </c>
      <c r="S23" s="23">
        <f t="shared" ref="S23" si="2">+Q23*R23</f>
        <v>0</v>
      </c>
      <c r="T23">
        <f>+T151</f>
        <v>0</v>
      </c>
    </row>
    <row r="24" spans="3:20">
      <c r="C24" s="393" t="s">
        <v>262</v>
      </c>
      <c r="D24" s="394"/>
      <c r="E24" s="325" t="s">
        <v>48</v>
      </c>
      <c r="F24" s="326" t="s">
        <v>49</v>
      </c>
      <c r="G24" s="326" t="s">
        <v>50</v>
      </c>
      <c r="H24" s="326" t="s">
        <v>51</v>
      </c>
      <c r="I24" s="326" t="s">
        <v>52</v>
      </c>
      <c r="J24" s="326" t="s">
        <v>53</v>
      </c>
      <c r="K24" s="326" t="s">
        <v>54</v>
      </c>
      <c r="L24" s="327" t="s">
        <v>55</v>
      </c>
      <c r="M24" s="259" t="s">
        <v>140</v>
      </c>
      <c r="N24" s="259" t="s">
        <v>57</v>
      </c>
      <c r="O24" s="259" t="s">
        <v>66</v>
      </c>
      <c r="P24" s="259" t="s">
        <v>67</v>
      </c>
      <c r="Q24" s="326" t="s">
        <v>58</v>
      </c>
      <c r="S24" s="23"/>
    </row>
    <row r="25" spans="3:20">
      <c r="C25" s="317" t="s">
        <v>265</v>
      </c>
      <c r="D25" s="301">
        <f>+Q25</f>
        <v>17100</v>
      </c>
      <c r="E25" s="315"/>
      <c r="F25" s="121"/>
      <c r="G25" s="121"/>
      <c r="H25" s="121"/>
      <c r="I25" s="121"/>
      <c r="J25" s="122"/>
      <c r="K25" s="121"/>
      <c r="L25" s="121">
        <v>8715</v>
      </c>
      <c r="M25" s="122">
        <v>8385</v>
      </c>
      <c r="N25" s="122"/>
      <c r="O25" s="122"/>
      <c r="P25" s="122"/>
      <c r="Q25" s="13">
        <f>SUM(E25:P25)</f>
        <v>17100</v>
      </c>
      <c r="S25" s="23"/>
    </row>
    <row r="26" spans="3:20">
      <c r="C26" s="317" t="s">
        <v>266</v>
      </c>
      <c r="D26" s="128">
        <f>E26+F26+G26+H26+I26+J26+K26+L26+M26+N26+O26+P26</f>
        <v>23800</v>
      </c>
      <c r="E26" s="316"/>
      <c r="F26" s="121"/>
      <c r="G26" s="121"/>
      <c r="H26" s="121"/>
      <c r="I26" s="121"/>
      <c r="J26" s="122"/>
      <c r="K26" s="121"/>
      <c r="L26" s="121">
        <v>11800</v>
      </c>
      <c r="M26" s="122">
        <v>12000</v>
      </c>
      <c r="N26" s="122"/>
      <c r="O26" s="122"/>
      <c r="P26" s="122"/>
      <c r="Q26" s="13">
        <f t="shared" ref="Q26:Q41" si="3">SUM(E26:P26)</f>
        <v>23800</v>
      </c>
      <c r="S26" s="23"/>
    </row>
    <row r="27" spans="3:20">
      <c r="C27" s="317" t="s">
        <v>267</v>
      </c>
      <c r="D27" s="128">
        <f t="shared" ref="D27:D41" si="4">E27+F27+G27+H27+I27+J27+K27+L27+M27+N27+O27+P27</f>
        <v>30600</v>
      </c>
      <c r="E27" s="316"/>
      <c r="F27" s="121"/>
      <c r="G27" s="121"/>
      <c r="H27" s="121"/>
      <c r="I27" s="121"/>
      <c r="J27" s="122"/>
      <c r="K27" s="121"/>
      <c r="L27" s="121">
        <v>12600</v>
      </c>
      <c r="M27" s="122">
        <v>18000</v>
      </c>
      <c r="N27" s="122"/>
      <c r="O27" s="122"/>
      <c r="P27" s="122"/>
      <c r="Q27" s="13">
        <f t="shared" si="3"/>
        <v>30600</v>
      </c>
      <c r="S27" s="23"/>
    </row>
    <row r="28" spans="3:20">
      <c r="C28" s="317" t="s">
        <v>268</v>
      </c>
      <c r="D28" s="128">
        <f t="shared" si="4"/>
        <v>16400</v>
      </c>
      <c r="E28" s="316"/>
      <c r="F28" s="121"/>
      <c r="G28" s="121"/>
      <c r="H28" s="121"/>
      <c r="I28" s="121"/>
      <c r="J28" s="122"/>
      <c r="K28" s="121"/>
      <c r="L28" s="121">
        <v>8400</v>
      </c>
      <c r="M28" s="122">
        <v>8000</v>
      </c>
      <c r="N28" s="122"/>
      <c r="O28" s="122"/>
      <c r="P28" s="122"/>
      <c r="Q28" s="13">
        <f t="shared" si="3"/>
        <v>16400</v>
      </c>
      <c r="S28" s="23"/>
    </row>
    <row r="29" spans="3:20">
      <c r="C29" s="317" t="s">
        <v>269</v>
      </c>
      <c r="D29" s="128">
        <f t="shared" si="4"/>
        <v>20000</v>
      </c>
      <c r="E29" s="316"/>
      <c r="F29" s="121"/>
      <c r="G29" s="121"/>
      <c r="H29" s="121"/>
      <c r="I29" s="121"/>
      <c r="J29" s="122"/>
      <c r="K29" s="121"/>
      <c r="L29" s="121">
        <v>10500</v>
      </c>
      <c r="M29" s="122">
        <v>9500</v>
      </c>
      <c r="N29" s="122"/>
      <c r="O29" s="122"/>
      <c r="P29" s="122"/>
      <c r="Q29" s="13">
        <f t="shared" si="3"/>
        <v>20000</v>
      </c>
      <c r="S29" s="23"/>
    </row>
    <row r="30" spans="3:20">
      <c r="C30" s="317" t="s">
        <v>270</v>
      </c>
      <c r="D30" s="128">
        <f t="shared" si="4"/>
        <v>7830</v>
      </c>
      <c r="E30" s="316"/>
      <c r="F30" s="121"/>
      <c r="G30" s="121"/>
      <c r="H30" s="121"/>
      <c r="I30" s="121"/>
      <c r="J30" s="122"/>
      <c r="K30" s="121"/>
      <c r="L30" s="121">
        <v>1510</v>
      </c>
      <c r="M30" s="122">
        <v>6320</v>
      </c>
      <c r="N30" s="122"/>
      <c r="O30" s="122"/>
      <c r="P30" s="122"/>
      <c r="Q30" s="13">
        <f t="shared" si="3"/>
        <v>7830</v>
      </c>
      <c r="S30" s="23"/>
    </row>
    <row r="31" spans="3:20">
      <c r="C31" s="317" t="s">
        <v>271</v>
      </c>
      <c r="D31" s="128">
        <f t="shared" si="4"/>
        <v>8200</v>
      </c>
      <c r="E31" s="316"/>
      <c r="F31" s="121"/>
      <c r="G31" s="121"/>
      <c r="H31" s="121"/>
      <c r="I31" s="121"/>
      <c r="J31" s="122"/>
      <c r="K31" s="121"/>
      <c r="L31" s="121">
        <v>4200</v>
      </c>
      <c r="M31" s="122">
        <v>4000</v>
      </c>
      <c r="N31" s="122"/>
      <c r="O31" s="122"/>
      <c r="P31" s="122"/>
      <c r="Q31" s="13">
        <f t="shared" si="3"/>
        <v>8200</v>
      </c>
      <c r="S31" s="23"/>
    </row>
    <row r="32" spans="3:20">
      <c r="C32" s="317" t="s">
        <v>272</v>
      </c>
      <c r="D32" s="128">
        <f t="shared" si="4"/>
        <v>15375</v>
      </c>
      <c r="E32" s="316"/>
      <c r="F32" s="121"/>
      <c r="G32" s="121"/>
      <c r="H32" s="121"/>
      <c r="I32" s="121"/>
      <c r="J32" s="122"/>
      <c r="K32" s="121"/>
      <c r="L32" s="121">
        <v>7875</v>
      </c>
      <c r="M32" s="122">
        <v>7500</v>
      </c>
      <c r="N32" s="122"/>
      <c r="O32" s="122"/>
      <c r="P32" s="122"/>
      <c r="Q32" s="13">
        <f t="shared" si="3"/>
        <v>15375</v>
      </c>
      <c r="S32" s="23"/>
    </row>
    <row r="33" spans="2:20">
      <c r="C33" s="317" t="s">
        <v>273</v>
      </c>
      <c r="D33" s="128">
        <f t="shared" si="4"/>
        <v>10250</v>
      </c>
      <c r="E33" s="316"/>
      <c r="F33" s="121"/>
      <c r="G33" s="121"/>
      <c r="H33" s="121"/>
      <c r="I33" s="121"/>
      <c r="J33" s="122"/>
      <c r="K33" s="121"/>
      <c r="L33" s="121">
        <v>5250</v>
      </c>
      <c r="M33" s="122">
        <v>5000</v>
      </c>
      <c r="N33" s="122"/>
      <c r="O33" s="122"/>
      <c r="P33" s="122"/>
      <c r="Q33" s="13">
        <f t="shared" si="3"/>
        <v>10250</v>
      </c>
      <c r="S33" s="23"/>
    </row>
    <row r="34" spans="2:20">
      <c r="C34" s="317" t="s">
        <v>274</v>
      </c>
      <c r="D34" s="128">
        <f t="shared" si="4"/>
        <v>12300</v>
      </c>
      <c r="E34" s="316"/>
      <c r="F34" s="121"/>
      <c r="G34" s="121"/>
      <c r="H34" s="121"/>
      <c r="I34" s="121"/>
      <c r="J34" s="122"/>
      <c r="K34" s="121"/>
      <c r="L34" s="121">
        <v>6300</v>
      </c>
      <c r="M34" s="122">
        <v>6000</v>
      </c>
      <c r="N34" s="122"/>
      <c r="O34" s="122"/>
      <c r="P34" s="122"/>
      <c r="Q34" s="13">
        <f t="shared" si="3"/>
        <v>12300</v>
      </c>
      <c r="S34" s="23"/>
    </row>
    <row r="35" spans="2:20">
      <c r="C35" s="317" t="s">
        <v>275</v>
      </c>
      <c r="D35" s="128">
        <f t="shared" si="4"/>
        <v>8200</v>
      </c>
      <c r="E35" s="316"/>
      <c r="F35" s="121"/>
      <c r="G35" s="121"/>
      <c r="H35" s="121"/>
      <c r="I35" s="121"/>
      <c r="J35" s="122"/>
      <c r="K35" s="121"/>
      <c r="L35" s="121">
        <v>4200</v>
      </c>
      <c r="M35" s="122">
        <v>4000</v>
      </c>
      <c r="N35" s="122"/>
      <c r="O35" s="122"/>
      <c r="P35" s="122"/>
      <c r="Q35" s="13">
        <f t="shared" si="3"/>
        <v>8200</v>
      </c>
      <c r="S35" s="23"/>
    </row>
    <row r="36" spans="2:20">
      <c r="C36" s="317" t="s">
        <v>276</v>
      </c>
      <c r="D36" s="128">
        <f t="shared" si="4"/>
        <v>3300</v>
      </c>
      <c r="E36" s="316"/>
      <c r="F36" s="121"/>
      <c r="G36" s="121"/>
      <c r="H36" s="121"/>
      <c r="I36" s="121"/>
      <c r="J36" s="122"/>
      <c r="K36" s="121"/>
      <c r="L36" s="121">
        <v>1915</v>
      </c>
      <c r="M36" s="122">
        <v>1385</v>
      </c>
      <c r="N36" s="122"/>
      <c r="O36" s="122"/>
      <c r="P36" s="122"/>
      <c r="Q36" s="13">
        <f t="shared" si="3"/>
        <v>3300</v>
      </c>
      <c r="S36" s="23"/>
    </row>
    <row r="37" spans="2:20">
      <c r="C37" s="317" t="s">
        <v>291</v>
      </c>
      <c r="D37" s="128">
        <f t="shared" si="4"/>
        <v>0</v>
      </c>
      <c r="E37" s="316"/>
      <c r="F37" s="121"/>
      <c r="G37" s="121"/>
      <c r="H37" s="121"/>
      <c r="I37" s="121"/>
      <c r="J37" s="122"/>
      <c r="K37" s="121"/>
      <c r="L37" s="121">
        <v>0</v>
      </c>
      <c r="M37" s="122">
        <v>0</v>
      </c>
      <c r="N37" s="122"/>
      <c r="O37" s="122"/>
      <c r="P37" s="122"/>
      <c r="Q37" s="13">
        <f t="shared" si="3"/>
        <v>0</v>
      </c>
      <c r="S37" s="23"/>
    </row>
    <row r="38" spans="2:20">
      <c r="C38" s="317" t="s">
        <v>277</v>
      </c>
      <c r="D38" s="128">
        <f t="shared" si="4"/>
        <v>8050</v>
      </c>
      <c r="E38" s="316"/>
      <c r="F38" s="121"/>
      <c r="G38" s="121"/>
      <c r="H38" s="121"/>
      <c r="I38" s="121"/>
      <c r="J38" s="122"/>
      <c r="K38" s="121"/>
      <c r="L38" s="121">
        <v>3050</v>
      </c>
      <c r="M38" s="122">
        <v>5000</v>
      </c>
      <c r="N38" s="122"/>
      <c r="O38" s="122"/>
      <c r="P38" s="122"/>
      <c r="Q38" s="13">
        <f t="shared" si="3"/>
        <v>8050</v>
      </c>
      <c r="S38" s="23"/>
    </row>
    <row r="39" spans="2:20">
      <c r="C39" s="317" t="s">
        <v>278</v>
      </c>
      <c r="D39" s="128">
        <f t="shared" si="4"/>
        <v>8000</v>
      </c>
      <c r="E39" s="316"/>
      <c r="F39" s="121"/>
      <c r="G39" s="121"/>
      <c r="H39" s="121"/>
      <c r="I39" s="121"/>
      <c r="J39" s="122"/>
      <c r="K39" s="121"/>
      <c r="L39" s="121">
        <v>3000</v>
      </c>
      <c r="M39" s="122">
        <v>5000</v>
      </c>
      <c r="N39" s="122"/>
      <c r="O39" s="122"/>
      <c r="P39" s="122"/>
      <c r="Q39" s="13">
        <f t="shared" si="3"/>
        <v>8000</v>
      </c>
      <c r="S39" s="23"/>
    </row>
    <row r="40" spans="2:20">
      <c r="C40" s="317" t="s">
        <v>279</v>
      </c>
      <c r="D40" s="128">
        <f t="shared" si="4"/>
        <v>9900</v>
      </c>
      <c r="E40" s="316"/>
      <c r="F40" s="121"/>
      <c r="G40" s="121"/>
      <c r="H40" s="121"/>
      <c r="I40" s="121"/>
      <c r="J40" s="122"/>
      <c r="K40" s="121"/>
      <c r="L40" s="121">
        <v>3900</v>
      </c>
      <c r="M40" s="122">
        <v>6000</v>
      </c>
      <c r="N40" s="122"/>
      <c r="O40" s="122"/>
      <c r="P40" s="122"/>
      <c r="Q40" s="13">
        <f t="shared" si="3"/>
        <v>9900</v>
      </c>
      <c r="S40" s="23"/>
    </row>
    <row r="41" spans="2:20" ht="15.75" thickBot="1">
      <c r="C41" s="317" t="s">
        <v>280</v>
      </c>
      <c r="D41" s="128">
        <f t="shared" si="4"/>
        <v>3200</v>
      </c>
      <c r="E41" s="316"/>
      <c r="F41" s="121"/>
      <c r="G41" s="121"/>
      <c r="H41" s="121"/>
      <c r="I41" s="121"/>
      <c r="J41" s="122"/>
      <c r="K41" s="121"/>
      <c r="L41" s="121">
        <v>1200</v>
      </c>
      <c r="M41" s="122">
        <v>2000</v>
      </c>
      <c r="N41" s="122"/>
      <c r="O41" s="122"/>
      <c r="P41" s="122"/>
      <c r="Q41" s="13">
        <f t="shared" si="3"/>
        <v>3200</v>
      </c>
      <c r="S41" s="23"/>
    </row>
    <row r="42" spans="2:20" ht="15.75" thickBot="1">
      <c r="C42" s="321" t="s">
        <v>281</v>
      </c>
      <c r="D42" s="320">
        <f>SUM(D25:D41)</f>
        <v>202505</v>
      </c>
      <c r="E42" s="322"/>
      <c r="F42" s="323"/>
      <c r="G42" s="323"/>
      <c r="H42" s="323"/>
      <c r="I42" s="323"/>
      <c r="J42" s="323"/>
      <c r="K42" s="323"/>
      <c r="L42" s="323">
        <f>SUM(L25:L41)</f>
        <v>94415</v>
      </c>
      <c r="M42" s="323">
        <f>SUM(M25:M41)</f>
        <v>108090</v>
      </c>
      <c r="N42" s="323"/>
      <c r="O42" s="323"/>
      <c r="P42" s="323"/>
      <c r="Q42" s="324">
        <f>SUM(E42:P42)</f>
        <v>202505</v>
      </c>
      <c r="S42" s="23"/>
    </row>
    <row r="43" spans="2:20" ht="15.75" thickBot="1">
      <c r="C43" s="389" t="s">
        <v>264</v>
      </c>
      <c r="D43" s="390"/>
      <c r="E43" s="325" t="s">
        <v>48</v>
      </c>
      <c r="F43" s="326" t="s">
        <v>49</v>
      </c>
      <c r="G43" s="326" t="s">
        <v>50</v>
      </c>
      <c r="H43" s="326" t="s">
        <v>51</v>
      </c>
      <c r="I43" s="326" t="s">
        <v>52</v>
      </c>
      <c r="J43" s="326" t="s">
        <v>53</v>
      </c>
      <c r="K43" s="326" t="s">
        <v>54</v>
      </c>
      <c r="L43" s="327" t="s">
        <v>55</v>
      </c>
      <c r="M43" s="259" t="s">
        <v>140</v>
      </c>
      <c r="N43" s="259" t="s">
        <v>57</v>
      </c>
      <c r="O43" s="259" t="s">
        <v>66</v>
      </c>
      <c r="P43" s="259" t="s">
        <v>67</v>
      </c>
      <c r="Q43" s="326" t="s">
        <v>58</v>
      </c>
      <c r="S43" s="23"/>
    </row>
    <row r="44" spans="2:20">
      <c r="B44" s="299">
        <v>1</v>
      </c>
      <c r="C44" s="127" t="s">
        <v>4</v>
      </c>
      <c r="D44" s="128">
        <f>+Q44</f>
        <v>2688078</v>
      </c>
      <c r="E44" s="13">
        <v>333122</v>
      </c>
      <c r="F44" s="13">
        <v>326757</v>
      </c>
      <c r="G44" s="13">
        <v>334236</v>
      </c>
      <c r="H44" s="13">
        <v>258396</v>
      </c>
      <c r="I44" s="13">
        <v>297504</v>
      </c>
      <c r="J44" s="13">
        <v>293556</v>
      </c>
      <c r="K44" s="307">
        <v>310092</v>
      </c>
      <c r="L44" s="13">
        <v>270856</v>
      </c>
      <c r="M44" s="13">
        <v>263559</v>
      </c>
      <c r="N44" s="13"/>
      <c r="O44" s="13"/>
      <c r="P44" s="13"/>
      <c r="Q44" s="13">
        <f>SUM(E44:P44)</f>
        <v>2688078</v>
      </c>
      <c r="R44" s="113"/>
      <c r="S44" s="23">
        <f>+Q44*R44</f>
        <v>0</v>
      </c>
      <c r="T44" s="16">
        <f>SUM(E44:Q44)</f>
        <v>5376156</v>
      </c>
    </row>
    <row r="45" spans="2:20">
      <c r="B45" s="299">
        <v>2</v>
      </c>
      <c r="C45" s="129" t="s">
        <v>5</v>
      </c>
      <c r="D45" s="130">
        <f t="shared" ref="D45:D130" si="5">+Q45</f>
        <v>552596</v>
      </c>
      <c r="E45" s="13">
        <v>50930</v>
      </c>
      <c r="F45" s="13">
        <v>56787</v>
      </c>
      <c r="G45" s="13">
        <v>52326</v>
      </c>
      <c r="H45" s="13">
        <v>48920</v>
      </c>
      <c r="I45" s="13">
        <v>69819</v>
      </c>
      <c r="J45" s="44">
        <v>62381</v>
      </c>
      <c r="K45" s="308">
        <v>83396</v>
      </c>
      <c r="L45" s="13">
        <v>59571</v>
      </c>
      <c r="M45" s="13">
        <v>68466</v>
      </c>
      <c r="N45" s="13"/>
      <c r="O45" s="13"/>
      <c r="P45" s="13"/>
      <c r="Q45" s="13">
        <f t="shared" ref="Q45:Q108" si="6">SUM(E45:P45)</f>
        <v>552596</v>
      </c>
      <c r="R45" s="113"/>
      <c r="S45" s="23">
        <f t="shared" ref="S45:S109" si="7">+Q45*R45</f>
        <v>0</v>
      </c>
    </row>
    <row r="46" spans="2:20" s="115" customFormat="1">
      <c r="B46" s="299">
        <v>3</v>
      </c>
      <c r="C46" s="132" t="s">
        <v>6</v>
      </c>
      <c r="D46" s="128">
        <f t="shared" si="5"/>
        <v>810223</v>
      </c>
      <c r="E46" s="279">
        <v>57097</v>
      </c>
      <c r="F46" s="279">
        <v>68502</v>
      </c>
      <c r="G46" s="279">
        <v>80338</v>
      </c>
      <c r="H46" s="279">
        <v>87662</v>
      </c>
      <c r="I46" s="279">
        <v>92779</v>
      </c>
      <c r="J46" s="280">
        <v>136221</v>
      </c>
      <c r="K46" s="309">
        <v>103776</v>
      </c>
      <c r="L46" s="279">
        <v>105000</v>
      </c>
      <c r="M46" s="13">
        <v>78848</v>
      </c>
      <c r="N46" s="13"/>
      <c r="O46" s="13"/>
      <c r="P46" s="13"/>
      <c r="Q46" s="13">
        <f t="shared" si="6"/>
        <v>810223</v>
      </c>
      <c r="R46" s="113"/>
      <c r="S46" s="23">
        <f t="shared" si="7"/>
        <v>0</v>
      </c>
    </row>
    <row r="47" spans="2:20">
      <c r="B47" s="299">
        <v>4</v>
      </c>
      <c r="C47" s="129" t="s">
        <v>7</v>
      </c>
      <c r="D47" s="130">
        <f t="shared" si="5"/>
        <v>439369</v>
      </c>
      <c r="E47" s="13">
        <v>37492</v>
      </c>
      <c r="F47" s="13">
        <v>42871</v>
      </c>
      <c r="G47" s="13">
        <v>43555</v>
      </c>
      <c r="H47" s="13">
        <v>39549</v>
      </c>
      <c r="I47" s="13">
        <v>54555</v>
      </c>
      <c r="J47" s="44">
        <v>51751</v>
      </c>
      <c r="K47" s="308">
        <v>56759</v>
      </c>
      <c r="L47" s="13">
        <v>57901</v>
      </c>
      <c r="M47" s="13">
        <v>54936</v>
      </c>
      <c r="N47" s="13"/>
      <c r="O47" s="13"/>
      <c r="P47" s="13"/>
      <c r="Q47" s="13">
        <f t="shared" si="6"/>
        <v>439369</v>
      </c>
      <c r="R47" s="113"/>
      <c r="S47" s="23">
        <f t="shared" si="7"/>
        <v>0</v>
      </c>
    </row>
    <row r="48" spans="2:20" s="115" customFormat="1">
      <c r="B48" s="299">
        <v>5</v>
      </c>
      <c r="C48" s="132" t="s">
        <v>8</v>
      </c>
      <c r="D48" s="128">
        <f t="shared" si="5"/>
        <v>493474</v>
      </c>
      <c r="E48" s="279">
        <v>46787</v>
      </c>
      <c r="F48" s="279">
        <v>55100</v>
      </c>
      <c r="G48" s="279">
        <v>52030</v>
      </c>
      <c r="H48" s="279">
        <v>56747</v>
      </c>
      <c r="I48" s="279">
        <v>63719</v>
      </c>
      <c r="J48" s="280">
        <v>57886</v>
      </c>
      <c r="K48" s="309">
        <v>57379</v>
      </c>
      <c r="L48" s="279">
        <v>53024</v>
      </c>
      <c r="M48" s="13">
        <v>50802</v>
      </c>
      <c r="N48" s="13"/>
      <c r="O48" s="13"/>
      <c r="P48" s="13"/>
      <c r="Q48" s="13">
        <f t="shared" si="6"/>
        <v>493474</v>
      </c>
      <c r="R48" s="113"/>
      <c r="S48" s="23">
        <f t="shared" si="7"/>
        <v>0</v>
      </c>
    </row>
    <row r="49" spans="2:19">
      <c r="B49" s="299">
        <v>6</v>
      </c>
      <c r="C49" s="129" t="s">
        <v>9</v>
      </c>
      <c r="D49" s="130">
        <f t="shared" si="5"/>
        <v>762336</v>
      </c>
      <c r="E49" s="13">
        <v>62148</v>
      </c>
      <c r="F49" s="13">
        <v>77499</v>
      </c>
      <c r="G49" s="13">
        <v>74252</v>
      </c>
      <c r="H49" s="13">
        <v>81411</v>
      </c>
      <c r="I49" s="13">
        <v>91857</v>
      </c>
      <c r="J49" s="44">
        <v>92296</v>
      </c>
      <c r="K49" s="308">
        <v>108776</v>
      </c>
      <c r="L49" s="13">
        <v>90209</v>
      </c>
      <c r="M49" s="13">
        <v>83888</v>
      </c>
      <c r="N49" s="13"/>
      <c r="O49" s="13"/>
      <c r="P49" s="13"/>
      <c r="Q49" s="13">
        <f t="shared" si="6"/>
        <v>762336</v>
      </c>
      <c r="R49" s="113"/>
      <c r="S49" s="23">
        <f t="shared" si="7"/>
        <v>0</v>
      </c>
    </row>
    <row r="50" spans="2:19" s="115" customFormat="1">
      <c r="B50" s="299">
        <v>7</v>
      </c>
      <c r="C50" s="132" t="s">
        <v>185</v>
      </c>
      <c r="D50" s="128">
        <f>+Q50</f>
        <v>55263</v>
      </c>
      <c r="E50" s="279">
        <v>13551</v>
      </c>
      <c r="F50" s="279">
        <v>11046</v>
      </c>
      <c r="G50" s="279">
        <v>12431</v>
      </c>
      <c r="H50" s="279">
        <v>6401</v>
      </c>
      <c r="I50" s="279">
        <v>10561</v>
      </c>
      <c r="J50" s="280">
        <v>1273</v>
      </c>
      <c r="K50" s="309">
        <v>0</v>
      </c>
      <c r="L50" s="279"/>
      <c r="M50" s="13"/>
      <c r="N50" s="13"/>
      <c r="O50" s="13"/>
      <c r="P50" s="13"/>
      <c r="Q50" s="13">
        <f t="shared" si="6"/>
        <v>55263</v>
      </c>
      <c r="R50" s="113"/>
      <c r="S50" s="23">
        <f t="shared" si="7"/>
        <v>0</v>
      </c>
    </row>
    <row r="51" spans="2:19">
      <c r="B51" s="299">
        <v>8</v>
      </c>
      <c r="C51" s="129" t="s">
        <v>10</v>
      </c>
      <c r="D51" s="130">
        <f t="shared" si="5"/>
        <v>443022</v>
      </c>
      <c r="E51" s="13">
        <v>34370</v>
      </c>
      <c r="F51" s="13">
        <v>42045</v>
      </c>
      <c r="G51" s="13">
        <v>44205</v>
      </c>
      <c r="H51" s="13">
        <v>44524</v>
      </c>
      <c r="I51" s="13">
        <v>51032</v>
      </c>
      <c r="J51" s="44">
        <v>55817</v>
      </c>
      <c r="K51" s="308">
        <v>65230</v>
      </c>
      <c r="L51" s="13">
        <v>53786</v>
      </c>
      <c r="M51" s="13">
        <v>52013</v>
      </c>
      <c r="N51" s="13"/>
      <c r="O51" s="13"/>
      <c r="P51" s="13"/>
      <c r="Q51" s="13">
        <f t="shared" si="6"/>
        <v>443022</v>
      </c>
      <c r="R51" s="113"/>
      <c r="S51" s="23">
        <f t="shared" si="7"/>
        <v>0</v>
      </c>
    </row>
    <row r="52" spans="2:19">
      <c r="B52" s="299">
        <v>9</v>
      </c>
      <c r="C52" s="132" t="s">
        <v>11</v>
      </c>
      <c r="D52" s="128">
        <f t="shared" si="5"/>
        <v>444703</v>
      </c>
      <c r="E52" s="13">
        <v>36056</v>
      </c>
      <c r="F52" s="13">
        <v>42026</v>
      </c>
      <c r="G52" s="13">
        <v>44834</v>
      </c>
      <c r="H52" s="13">
        <v>47666</v>
      </c>
      <c r="I52" s="13">
        <v>47132</v>
      </c>
      <c r="J52" s="44">
        <f>51635+915+2660</f>
        <v>55210</v>
      </c>
      <c r="K52" s="308">
        <v>58514</v>
      </c>
      <c r="L52" s="13">
        <v>55967</v>
      </c>
      <c r="M52" s="13">
        <v>57298</v>
      </c>
      <c r="N52" s="13"/>
      <c r="O52" s="13"/>
      <c r="P52" s="13"/>
      <c r="Q52" s="13">
        <f t="shared" si="6"/>
        <v>444703</v>
      </c>
      <c r="R52" s="113"/>
      <c r="S52" s="23">
        <f t="shared" si="7"/>
        <v>0</v>
      </c>
    </row>
    <row r="53" spans="2:19">
      <c r="B53" s="299">
        <v>10</v>
      </c>
      <c r="C53" s="129" t="s">
        <v>159</v>
      </c>
      <c r="D53" s="130">
        <f>+Q53</f>
        <v>388397</v>
      </c>
      <c r="E53" s="13">
        <v>27809</v>
      </c>
      <c r="F53" s="13">
        <v>40060</v>
      </c>
      <c r="G53" s="13">
        <v>46400</v>
      </c>
      <c r="H53" s="13">
        <v>42150</v>
      </c>
      <c r="I53" s="13">
        <v>39200</v>
      </c>
      <c r="J53" s="131">
        <v>35150</v>
      </c>
      <c r="K53" s="310">
        <v>49075</v>
      </c>
      <c r="L53" s="14">
        <v>54300</v>
      </c>
      <c r="M53" s="13">
        <v>54253</v>
      </c>
      <c r="N53" s="13"/>
      <c r="O53" s="13"/>
      <c r="P53" s="13"/>
      <c r="Q53" s="13">
        <f t="shared" si="6"/>
        <v>388397</v>
      </c>
      <c r="R53" s="113"/>
      <c r="S53" s="23">
        <f t="shared" si="7"/>
        <v>0</v>
      </c>
    </row>
    <row r="54" spans="2:19" s="115" customFormat="1">
      <c r="B54" s="299">
        <v>11</v>
      </c>
      <c r="C54" s="132" t="s">
        <v>75</v>
      </c>
      <c r="D54" s="128">
        <f t="shared" si="5"/>
        <v>197981</v>
      </c>
      <c r="E54" s="279">
        <v>17929</v>
      </c>
      <c r="F54" s="279">
        <v>20655</v>
      </c>
      <c r="G54" s="279">
        <v>19450</v>
      </c>
      <c r="H54" s="279">
        <v>21461</v>
      </c>
      <c r="I54" s="279">
        <v>23339</v>
      </c>
      <c r="J54" s="280">
        <v>21928</v>
      </c>
      <c r="K54" s="309">
        <v>29940</v>
      </c>
      <c r="L54" s="279">
        <v>22088</v>
      </c>
      <c r="M54" s="13">
        <v>21191</v>
      </c>
      <c r="N54" s="13"/>
      <c r="O54" s="13"/>
      <c r="P54" s="13"/>
      <c r="Q54" s="13">
        <f t="shared" si="6"/>
        <v>197981</v>
      </c>
      <c r="R54" s="113"/>
      <c r="S54" s="23">
        <f t="shared" si="7"/>
        <v>0</v>
      </c>
    </row>
    <row r="55" spans="2:19">
      <c r="B55" s="299">
        <v>12</v>
      </c>
      <c r="C55" s="129" t="s">
        <v>156</v>
      </c>
      <c r="D55" s="130">
        <f t="shared" si="5"/>
        <v>617783</v>
      </c>
      <c r="E55" s="13">
        <v>0</v>
      </c>
      <c r="F55" s="13">
        <v>73958</v>
      </c>
      <c r="G55" s="13">
        <v>125902</v>
      </c>
      <c r="H55" s="13">
        <v>164447</v>
      </c>
      <c r="I55" s="13">
        <v>71419</v>
      </c>
      <c r="J55" s="44">
        <v>0</v>
      </c>
      <c r="K55" s="308">
        <v>0</v>
      </c>
      <c r="L55" s="13">
        <v>23961</v>
      </c>
      <c r="M55" s="13">
        <v>158096</v>
      </c>
      <c r="N55" s="13"/>
      <c r="O55" s="13"/>
      <c r="P55" s="13"/>
      <c r="Q55" s="13">
        <f t="shared" si="6"/>
        <v>617783</v>
      </c>
      <c r="R55" s="113"/>
      <c r="S55" s="23">
        <f t="shared" si="7"/>
        <v>0</v>
      </c>
    </row>
    <row r="56" spans="2:19">
      <c r="B56" s="299">
        <v>13</v>
      </c>
      <c r="C56" s="132" t="s">
        <v>180</v>
      </c>
      <c r="D56" s="128">
        <f t="shared" si="5"/>
        <v>87755</v>
      </c>
      <c r="E56" s="13">
        <v>8118</v>
      </c>
      <c r="F56" s="13">
        <v>8619</v>
      </c>
      <c r="G56" s="13">
        <v>8598</v>
      </c>
      <c r="H56" s="13">
        <v>11173</v>
      </c>
      <c r="I56" s="13">
        <v>11234</v>
      </c>
      <c r="J56" s="44">
        <v>9829</v>
      </c>
      <c r="K56" s="308">
        <v>10447</v>
      </c>
      <c r="L56" s="13">
        <v>10632</v>
      </c>
      <c r="M56" s="13">
        <v>9105</v>
      </c>
      <c r="N56" s="13"/>
      <c r="O56" s="13"/>
      <c r="P56" s="13"/>
      <c r="Q56" s="13">
        <f t="shared" si="6"/>
        <v>87755</v>
      </c>
      <c r="R56" s="113"/>
      <c r="S56" s="23">
        <f t="shared" si="7"/>
        <v>0</v>
      </c>
    </row>
    <row r="57" spans="2:19">
      <c r="B57" s="299">
        <v>14</v>
      </c>
      <c r="C57" s="129" t="s">
        <v>181</v>
      </c>
      <c r="D57" s="130">
        <f t="shared" si="5"/>
        <v>191850</v>
      </c>
      <c r="E57" s="13">
        <v>15750</v>
      </c>
      <c r="F57" s="13">
        <v>19760</v>
      </c>
      <c r="G57" s="13">
        <v>21750</v>
      </c>
      <c r="H57" s="13">
        <v>21737</v>
      </c>
      <c r="I57" s="13">
        <v>20844</v>
      </c>
      <c r="J57" s="44">
        <v>20374</v>
      </c>
      <c r="K57" s="308">
        <v>26250</v>
      </c>
      <c r="L57" s="13">
        <v>23683</v>
      </c>
      <c r="M57" s="13">
        <v>21702</v>
      </c>
      <c r="N57" s="13"/>
      <c r="O57" s="13"/>
      <c r="P57" s="13"/>
      <c r="Q57" s="13">
        <f t="shared" si="6"/>
        <v>191850</v>
      </c>
      <c r="R57" s="113"/>
      <c r="S57" s="23">
        <f t="shared" si="7"/>
        <v>0</v>
      </c>
    </row>
    <row r="58" spans="2:19">
      <c r="B58" s="299">
        <v>15</v>
      </c>
      <c r="C58" s="132" t="s">
        <v>14</v>
      </c>
      <c r="D58" s="128">
        <f t="shared" si="5"/>
        <v>159343</v>
      </c>
      <c r="E58" s="13">
        <v>14835</v>
      </c>
      <c r="F58" s="13">
        <v>15666</v>
      </c>
      <c r="G58" s="13">
        <v>15289</v>
      </c>
      <c r="H58" s="13">
        <v>18844</v>
      </c>
      <c r="I58" s="13">
        <v>18683</v>
      </c>
      <c r="J58" s="44">
        <v>18457</v>
      </c>
      <c r="K58" s="308">
        <v>20508</v>
      </c>
      <c r="L58" s="13">
        <v>19589</v>
      </c>
      <c r="M58" s="13">
        <v>17472</v>
      </c>
      <c r="N58" s="13"/>
      <c r="O58" s="13"/>
      <c r="P58" s="13"/>
      <c r="Q58" s="13">
        <f t="shared" si="6"/>
        <v>159343</v>
      </c>
      <c r="R58" s="113"/>
      <c r="S58" s="23">
        <f t="shared" si="7"/>
        <v>0</v>
      </c>
    </row>
    <row r="59" spans="2:19">
      <c r="B59" s="299">
        <v>16</v>
      </c>
      <c r="C59" s="129" t="s">
        <v>12</v>
      </c>
      <c r="D59" s="130">
        <f>+Q59</f>
        <v>153930</v>
      </c>
      <c r="E59" s="13">
        <v>12971</v>
      </c>
      <c r="F59" s="13">
        <v>14384</v>
      </c>
      <c r="G59" s="13">
        <v>13823</v>
      </c>
      <c r="H59" s="13">
        <v>16512</v>
      </c>
      <c r="I59" s="13">
        <v>18586</v>
      </c>
      <c r="J59" s="44">
        <v>18836</v>
      </c>
      <c r="K59" s="308">
        <v>21108</v>
      </c>
      <c r="L59" s="13">
        <v>17255</v>
      </c>
      <c r="M59" s="13">
        <v>20455</v>
      </c>
      <c r="N59" s="13"/>
      <c r="O59" s="13"/>
      <c r="P59" s="13"/>
      <c r="Q59" s="13">
        <f t="shared" si="6"/>
        <v>153930</v>
      </c>
      <c r="R59" s="113"/>
      <c r="S59" s="23">
        <f t="shared" si="7"/>
        <v>0</v>
      </c>
    </row>
    <row r="60" spans="2:19">
      <c r="B60" s="299">
        <v>17</v>
      </c>
      <c r="C60" s="129" t="s">
        <v>230</v>
      </c>
      <c r="D60" s="130">
        <f>+Q60</f>
        <v>118522</v>
      </c>
      <c r="E60" s="13">
        <v>9762</v>
      </c>
      <c r="F60" s="13">
        <v>11420</v>
      </c>
      <c r="G60" s="13">
        <v>11160</v>
      </c>
      <c r="H60" s="13">
        <v>14260</v>
      </c>
      <c r="I60" s="13">
        <v>13020</v>
      </c>
      <c r="J60" s="44">
        <v>12900</v>
      </c>
      <c r="K60" s="308">
        <v>15320</v>
      </c>
      <c r="L60" s="13">
        <v>16280</v>
      </c>
      <c r="M60" s="13">
        <v>14400</v>
      </c>
      <c r="N60" s="13"/>
      <c r="O60" s="13"/>
      <c r="P60" s="13"/>
      <c r="Q60" s="13">
        <f t="shared" si="6"/>
        <v>118522</v>
      </c>
      <c r="R60" s="113"/>
      <c r="S60" s="23">
        <f t="shared" si="7"/>
        <v>0</v>
      </c>
    </row>
    <row r="61" spans="2:19" s="115" customFormat="1">
      <c r="B61" s="299">
        <v>18</v>
      </c>
      <c r="C61" s="132" t="s">
        <v>13</v>
      </c>
      <c r="D61" s="128">
        <f t="shared" si="5"/>
        <v>165731</v>
      </c>
      <c r="E61" s="279">
        <v>13970</v>
      </c>
      <c r="F61" s="279">
        <v>17428</v>
      </c>
      <c r="G61" s="279">
        <v>16566</v>
      </c>
      <c r="H61" s="279">
        <v>17459</v>
      </c>
      <c r="I61" s="279">
        <v>18907</v>
      </c>
      <c r="J61" s="280">
        <v>19038</v>
      </c>
      <c r="K61" s="309">
        <v>22545</v>
      </c>
      <c r="L61" s="279">
        <v>19912</v>
      </c>
      <c r="M61" s="13">
        <v>19906</v>
      </c>
      <c r="N61" s="13"/>
      <c r="O61" s="13"/>
      <c r="P61" s="13"/>
      <c r="Q61" s="13">
        <f t="shared" si="6"/>
        <v>165731</v>
      </c>
      <c r="R61" s="113"/>
      <c r="S61" s="23">
        <f t="shared" si="7"/>
        <v>0</v>
      </c>
    </row>
    <row r="62" spans="2:19">
      <c r="B62" s="299">
        <v>19</v>
      </c>
      <c r="C62" s="129" t="s">
        <v>15</v>
      </c>
      <c r="D62" s="130">
        <f t="shared" si="5"/>
        <v>79005</v>
      </c>
      <c r="E62" s="13">
        <v>5021</v>
      </c>
      <c r="F62" s="13">
        <v>10993</v>
      </c>
      <c r="G62" s="13">
        <v>7081</v>
      </c>
      <c r="H62" s="13">
        <v>3906</v>
      </c>
      <c r="I62" s="13">
        <v>8178</v>
      </c>
      <c r="J62" s="44">
        <v>9013</v>
      </c>
      <c r="K62" s="308">
        <v>13152</v>
      </c>
      <c r="L62" s="13">
        <v>11343</v>
      </c>
      <c r="M62" s="13">
        <v>10318</v>
      </c>
      <c r="N62" s="13"/>
      <c r="O62" s="13"/>
      <c r="P62" s="13"/>
      <c r="Q62" s="13">
        <f t="shared" si="6"/>
        <v>79005</v>
      </c>
      <c r="R62" s="113"/>
      <c r="S62" s="23">
        <f t="shared" si="7"/>
        <v>0</v>
      </c>
    </row>
    <row r="63" spans="2:19">
      <c r="B63" s="299">
        <v>20</v>
      </c>
      <c r="C63" s="132" t="s">
        <v>18</v>
      </c>
      <c r="D63" s="128">
        <f t="shared" si="5"/>
        <v>181798</v>
      </c>
      <c r="E63" s="13">
        <v>16271</v>
      </c>
      <c r="F63" s="13">
        <v>20045</v>
      </c>
      <c r="G63" s="13">
        <v>17706</v>
      </c>
      <c r="H63" s="13">
        <v>20013</v>
      </c>
      <c r="I63" s="13">
        <v>20525</v>
      </c>
      <c r="J63" s="44">
        <v>21404</v>
      </c>
      <c r="K63" s="308">
        <v>23626</v>
      </c>
      <c r="L63" s="13">
        <v>22308</v>
      </c>
      <c r="M63" s="13">
        <v>19900</v>
      </c>
      <c r="N63" s="13"/>
      <c r="O63" s="13"/>
      <c r="P63" s="13"/>
      <c r="Q63" s="13">
        <f t="shared" si="6"/>
        <v>181798</v>
      </c>
      <c r="R63" s="113"/>
      <c r="S63" s="23">
        <f t="shared" si="7"/>
        <v>0</v>
      </c>
    </row>
    <row r="64" spans="2:19">
      <c r="B64" s="299">
        <v>21</v>
      </c>
      <c r="C64" s="129" t="s">
        <v>70</v>
      </c>
      <c r="D64" s="130">
        <f t="shared" si="5"/>
        <v>257231</v>
      </c>
      <c r="E64" s="13">
        <v>24428</v>
      </c>
      <c r="F64" s="13">
        <v>29640</v>
      </c>
      <c r="G64" s="13">
        <v>24157</v>
      </c>
      <c r="H64" s="13">
        <v>26958</v>
      </c>
      <c r="I64" s="13">
        <v>31251</v>
      </c>
      <c r="J64" s="44">
        <v>28164</v>
      </c>
      <c r="K64" s="308">
        <v>32785</v>
      </c>
      <c r="L64" s="13">
        <v>30216</v>
      </c>
      <c r="M64" s="13">
        <v>29632</v>
      </c>
      <c r="N64" s="13"/>
      <c r="O64" s="13"/>
      <c r="P64" s="13"/>
      <c r="Q64" s="13">
        <f t="shared" si="6"/>
        <v>257231</v>
      </c>
      <c r="R64" s="113"/>
      <c r="S64" s="23">
        <f t="shared" si="7"/>
        <v>0</v>
      </c>
    </row>
    <row r="65" spans="2:19">
      <c r="B65" s="299">
        <v>22</v>
      </c>
      <c r="C65" s="132" t="s">
        <v>141</v>
      </c>
      <c r="D65" s="128">
        <f t="shared" si="5"/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44">
        <v>0</v>
      </c>
      <c r="K65" s="308">
        <v>0</v>
      </c>
      <c r="L65" s="44"/>
      <c r="M65" s="13"/>
      <c r="N65" s="13"/>
      <c r="O65" s="13"/>
      <c r="P65" s="13"/>
      <c r="Q65" s="13">
        <f t="shared" si="6"/>
        <v>0</v>
      </c>
      <c r="R65" s="113"/>
      <c r="S65" s="23">
        <f t="shared" si="7"/>
        <v>0</v>
      </c>
    </row>
    <row r="66" spans="2:19">
      <c r="B66" s="299">
        <v>23</v>
      </c>
      <c r="C66" s="129" t="s">
        <v>16</v>
      </c>
      <c r="D66" s="130">
        <f t="shared" si="5"/>
        <v>242920</v>
      </c>
      <c r="E66" s="13">
        <v>19200</v>
      </c>
      <c r="F66" s="13">
        <v>22734</v>
      </c>
      <c r="G66" s="13">
        <v>22462</v>
      </c>
      <c r="H66" s="13">
        <v>29354</v>
      </c>
      <c r="I66" s="13">
        <v>30164</v>
      </c>
      <c r="J66" s="44">
        <v>28301</v>
      </c>
      <c r="K66" s="308">
        <v>32456</v>
      </c>
      <c r="L66" s="13">
        <v>29557</v>
      </c>
      <c r="M66" s="13">
        <v>28692</v>
      </c>
      <c r="N66" s="13"/>
      <c r="O66" s="13"/>
      <c r="P66" s="13"/>
      <c r="Q66" s="13">
        <f t="shared" si="6"/>
        <v>242920</v>
      </c>
      <c r="R66" s="113"/>
      <c r="S66" s="23">
        <f t="shared" si="7"/>
        <v>0</v>
      </c>
    </row>
    <row r="67" spans="2:19" s="115" customFormat="1">
      <c r="B67" s="299">
        <v>24</v>
      </c>
      <c r="C67" s="132" t="s">
        <v>17</v>
      </c>
      <c r="D67" s="128">
        <f t="shared" si="5"/>
        <v>247871</v>
      </c>
      <c r="E67" s="279">
        <v>20290</v>
      </c>
      <c r="F67" s="279">
        <v>26585</v>
      </c>
      <c r="G67" s="279">
        <v>24448</v>
      </c>
      <c r="H67" s="279">
        <v>25236</v>
      </c>
      <c r="I67" s="279">
        <v>24797</v>
      </c>
      <c r="J67" s="280">
        <v>27301</v>
      </c>
      <c r="K67" s="309">
        <v>34889</v>
      </c>
      <c r="L67" s="279">
        <v>34475</v>
      </c>
      <c r="M67" s="13">
        <v>29850</v>
      </c>
      <c r="N67" s="13"/>
      <c r="O67" s="13"/>
      <c r="P67" s="13"/>
      <c r="Q67" s="13">
        <f t="shared" si="6"/>
        <v>247871</v>
      </c>
      <c r="R67" s="113"/>
      <c r="S67" s="23">
        <f t="shared" si="7"/>
        <v>0</v>
      </c>
    </row>
    <row r="68" spans="2:19">
      <c r="B68" s="299">
        <v>25</v>
      </c>
      <c r="C68" s="129" t="s">
        <v>19</v>
      </c>
      <c r="D68" s="130">
        <f t="shared" si="5"/>
        <v>372347</v>
      </c>
      <c r="E68" s="13">
        <v>37056</v>
      </c>
      <c r="F68" s="13">
        <v>45222</v>
      </c>
      <c r="G68" s="13">
        <v>41679</v>
      </c>
      <c r="H68" s="13">
        <v>45850</v>
      </c>
      <c r="I68" s="13">
        <v>45153</v>
      </c>
      <c r="J68" s="44">
        <v>45796</v>
      </c>
      <c r="K68" s="308">
        <v>47456</v>
      </c>
      <c r="L68" s="13">
        <v>35933</v>
      </c>
      <c r="M68" s="13">
        <v>28202</v>
      </c>
      <c r="N68" s="13"/>
      <c r="O68" s="13"/>
      <c r="P68" s="13"/>
      <c r="Q68" s="13">
        <f t="shared" si="6"/>
        <v>372347</v>
      </c>
      <c r="R68" s="113"/>
      <c r="S68" s="23">
        <f t="shared" si="7"/>
        <v>0</v>
      </c>
    </row>
    <row r="69" spans="2:19" s="115" customFormat="1">
      <c r="B69" s="299">
        <v>26</v>
      </c>
      <c r="C69" s="132" t="s">
        <v>157</v>
      </c>
      <c r="D69" s="128">
        <f>+Q69</f>
        <v>240486</v>
      </c>
      <c r="E69" s="279">
        <v>24897</v>
      </c>
      <c r="F69" s="279">
        <v>23395</v>
      </c>
      <c r="G69" s="279">
        <v>19540</v>
      </c>
      <c r="H69" s="279">
        <v>22940</v>
      </c>
      <c r="I69" s="279">
        <v>26965</v>
      </c>
      <c r="J69" s="280">
        <v>26251</v>
      </c>
      <c r="K69" s="309">
        <v>34100</v>
      </c>
      <c r="L69" s="279">
        <v>32521</v>
      </c>
      <c r="M69" s="13">
        <v>29877</v>
      </c>
      <c r="N69" s="13"/>
      <c r="O69" s="13"/>
      <c r="P69" s="13"/>
      <c r="Q69" s="13">
        <f t="shared" si="6"/>
        <v>240486</v>
      </c>
      <c r="R69" s="113"/>
      <c r="S69" s="23">
        <f t="shared" si="7"/>
        <v>0</v>
      </c>
    </row>
    <row r="70" spans="2:19" s="115" customFormat="1">
      <c r="B70" s="299">
        <v>27</v>
      </c>
      <c r="C70" s="129" t="s">
        <v>155</v>
      </c>
      <c r="D70" s="130">
        <f t="shared" ref="D70" si="8">+Q70</f>
        <v>98841</v>
      </c>
      <c r="E70" s="279">
        <v>7566</v>
      </c>
      <c r="F70" s="279">
        <v>9303</v>
      </c>
      <c r="G70" s="279">
        <v>9345</v>
      </c>
      <c r="H70" s="279">
        <v>10660</v>
      </c>
      <c r="I70" s="279">
        <v>13955</v>
      </c>
      <c r="J70" s="281">
        <v>12114</v>
      </c>
      <c r="K70" s="311">
        <v>12247</v>
      </c>
      <c r="L70" s="288">
        <v>12366</v>
      </c>
      <c r="M70" s="13">
        <v>11285</v>
      </c>
      <c r="N70" s="13"/>
      <c r="O70" s="13"/>
      <c r="P70" s="13"/>
      <c r="Q70" s="13">
        <f t="shared" si="6"/>
        <v>98841</v>
      </c>
      <c r="R70" s="113"/>
      <c r="S70" s="23">
        <f t="shared" si="7"/>
        <v>0</v>
      </c>
    </row>
    <row r="71" spans="2:19" s="115" customFormat="1">
      <c r="B71" s="299">
        <v>28</v>
      </c>
      <c r="C71" s="132" t="s">
        <v>20</v>
      </c>
      <c r="D71" s="128">
        <f t="shared" si="5"/>
        <v>330885</v>
      </c>
      <c r="E71" s="279">
        <v>31863</v>
      </c>
      <c r="F71" s="279">
        <v>37417</v>
      </c>
      <c r="G71" s="279">
        <v>37589</v>
      </c>
      <c r="H71" s="279">
        <v>37117</v>
      </c>
      <c r="I71" s="279">
        <v>38884</v>
      </c>
      <c r="J71" s="280">
        <v>38840</v>
      </c>
      <c r="K71" s="309">
        <v>45144</v>
      </c>
      <c r="L71" s="279">
        <v>32317</v>
      </c>
      <c r="M71" s="13">
        <v>31714</v>
      </c>
      <c r="N71" s="13"/>
      <c r="O71" s="13"/>
      <c r="P71" s="13"/>
      <c r="Q71" s="13">
        <f t="shared" si="6"/>
        <v>330885</v>
      </c>
      <c r="R71" s="113"/>
      <c r="S71" s="23">
        <f t="shared" si="7"/>
        <v>0</v>
      </c>
    </row>
    <row r="72" spans="2:19" s="115" customFormat="1">
      <c r="B72" s="299">
        <v>29</v>
      </c>
      <c r="C72" s="129" t="s">
        <v>21</v>
      </c>
      <c r="D72" s="130">
        <f t="shared" si="5"/>
        <v>343648</v>
      </c>
      <c r="E72" s="279">
        <v>28438</v>
      </c>
      <c r="F72" s="279">
        <v>35961</v>
      </c>
      <c r="G72" s="279">
        <v>34704</v>
      </c>
      <c r="H72" s="279">
        <v>40172</v>
      </c>
      <c r="I72" s="279">
        <v>37889</v>
      </c>
      <c r="J72" s="280">
        <v>38195</v>
      </c>
      <c r="K72" s="309">
        <v>45301</v>
      </c>
      <c r="L72" s="279">
        <v>43099</v>
      </c>
      <c r="M72" s="13">
        <v>39889</v>
      </c>
      <c r="N72" s="13"/>
      <c r="O72" s="13"/>
      <c r="P72" s="13"/>
      <c r="Q72" s="13">
        <f t="shared" si="6"/>
        <v>343648</v>
      </c>
      <c r="R72" s="113"/>
      <c r="S72" s="23">
        <f t="shared" si="7"/>
        <v>0</v>
      </c>
    </row>
    <row r="73" spans="2:19" s="115" customFormat="1">
      <c r="B73" s="299">
        <v>30</v>
      </c>
      <c r="C73" s="132" t="s">
        <v>160</v>
      </c>
      <c r="D73" s="128">
        <f>+Q73</f>
        <v>105335</v>
      </c>
      <c r="E73" s="279">
        <v>9468</v>
      </c>
      <c r="F73" s="279">
        <v>11351</v>
      </c>
      <c r="G73" s="279">
        <v>10372</v>
      </c>
      <c r="H73" s="279">
        <v>10613</v>
      </c>
      <c r="I73" s="279">
        <v>12436</v>
      </c>
      <c r="J73" s="281">
        <v>11716</v>
      </c>
      <c r="K73" s="311">
        <v>13806</v>
      </c>
      <c r="L73" s="288">
        <v>12744</v>
      </c>
      <c r="M73" s="13">
        <v>12829</v>
      </c>
      <c r="N73" s="13"/>
      <c r="O73" s="13"/>
      <c r="P73" s="13"/>
      <c r="Q73" s="13">
        <f t="shared" si="6"/>
        <v>105335</v>
      </c>
      <c r="R73" s="113"/>
      <c r="S73" s="23">
        <f t="shared" si="7"/>
        <v>0</v>
      </c>
    </row>
    <row r="74" spans="2:19" s="115" customFormat="1">
      <c r="B74" s="299">
        <v>31</v>
      </c>
      <c r="C74" s="129" t="s">
        <v>144</v>
      </c>
      <c r="D74" s="130">
        <f t="shared" si="5"/>
        <v>282228</v>
      </c>
      <c r="E74" s="279">
        <v>25400</v>
      </c>
      <c r="F74" s="279">
        <v>27000</v>
      </c>
      <c r="G74" s="279">
        <v>29380</v>
      </c>
      <c r="H74" s="279">
        <v>31550</v>
      </c>
      <c r="I74" s="279">
        <v>33800</v>
      </c>
      <c r="J74" s="280">
        <v>32520</v>
      </c>
      <c r="K74" s="309">
        <v>38038</v>
      </c>
      <c r="L74" s="279">
        <v>32120</v>
      </c>
      <c r="M74" s="13">
        <v>32420</v>
      </c>
      <c r="N74" s="13"/>
      <c r="O74" s="13"/>
      <c r="P74" s="13"/>
      <c r="Q74" s="13">
        <f t="shared" si="6"/>
        <v>282228</v>
      </c>
      <c r="R74" s="113"/>
      <c r="S74" s="23">
        <f t="shared" si="7"/>
        <v>0</v>
      </c>
    </row>
    <row r="75" spans="2:19" s="115" customFormat="1">
      <c r="B75" s="299">
        <v>32</v>
      </c>
      <c r="C75" s="132" t="s">
        <v>186</v>
      </c>
      <c r="D75" s="128">
        <f t="shared" si="5"/>
        <v>150797</v>
      </c>
      <c r="E75" s="279">
        <v>16015</v>
      </c>
      <c r="F75" s="279">
        <v>13168</v>
      </c>
      <c r="G75" s="279">
        <v>13032</v>
      </c>
      <c r="H75" s="279">
        <v>15531</v>
      </c>
      <c r="I75" s="279">
        <v>16976</v>
      </c>
      <c r="J75" s="280">
        <v>17792</v>
      </c>
      <c r="K75" s="309">
        <v>20416</v>
      </c>
      <c r="L75" s="279">
        <v>19254</v>
      </c>
      <c r="M75" s="13">
        <v>18613</v>
      </c>
      <c r="N75" s="13"/>
      <c r="O75" s="13"/>
      <c r="P75" s="13"/>
      <c r="Q75" s="13">
        <f t="shared" si="6"/>
        <v>150797</v>
      </c>
      <c r="R75" s="113"/>
      <c r="S75" s="23">
        <f t="shared" si="7"/>
        <v>0</v>
      </c>
    </row>
    <row r="76" spans="2:19" s="115" customFormat="1">
      <c r="B76" s="299">
        <v>33</v>
      </c>
      <c r="C76" s="129" t="s">
        <v>22</v>
      </c>
      <c r="D76" s="130">
        <f t="shared" si="5"/>
        <v>407565</v>
      </c>
      <c r="E76" s="279">
        <v>29600</v>
      </c>
      <c r="F76" s="279">
        <v>40850</v>
      </c>
      <c r="G76" s="279">
        <v>42375</v>
      </c>
      <c r="H76" s="279">
        <v>35185</v>
      </c>
      <c r="I76" s="279">
        <v>47220</v>
      </c>
      <c r="J76" s="280">
        <v>47580</v>
      </c>
      <c r="K76" s="309">
        <v>46240</v>
      </c>
      <c r="L76" s="279">
        <v>58270</v>
      </c>
      <c r="M76" s="13">
        <v>60245</v>
      </c>
      <c r="N76" s="13"/>
      <c r="O76" s="13"/>
      <c r="P76" s="13"/>
      <c r="Q76" s="13">
        <f t="shared" si="6"/>
        <v>407565</v>
      </c>
      <c r="R76" s="113"/>
      <c r="S76" s="23">
        <f t="shared" si="7"/>
        <v>0</v>
      </c>
    </row>
    <row r="77" spans="2:19" s="115" customFormat="1">
      <c r="B77" s="299">
        <v>34</v>
      </c>
      <c r="C77" s="132" t="s">
        <v>145</v>
      </c>
      <c r="D77" s="128">
        <f t="shared" si="5"/>
        <v>31422</v>
      </c>
      <c r="E77" s="279">
        <v>0</v>
      </c>
      <c r="F77" s="279">
        <v>1860</v>
      </c>
      <c r="G77" s="279">
        <v>5285</v>
      </c>
      <c r="H77" s="279">
        <v>5090</v>
      </c>
      <c r="I77" s="279">
        <v>3502</v>
      </c>
      <c r="J77" s="280">
        <v>2200</v>
      </c>
      <c r="K77" s="309">
        <v>2365</v>
      </c>
      <c r="L77" s="279">
        <v>3196</v>
      </c>
      <c r="M77" s="13">
        <v>7924</v>
      </c>
      <c r="N77" s="13"/>
      <c r="O77" s="13"/>
      <c r="P77" s="13"/>
      <c r="Q77" s="13">
        <f t="shared" si="6"/>
        <v>31422</v>
      </c>
      <c r="R77" s="113"/>
      <c r="S77" s="23">
        <f t="shared" si="7"/>
        <v>0</v>
      </c>
    </row>
    <row r="78" spans="2:19" s="115" customFormat="1">
      <c r="B78" s="299">
        <v>35</v>
      </c>
      <c r="C78" s="129" t="s">
        <v>62</v>
      </c>
      <c r="D78" s="130">
        <f t="shared" si="5"/>
        <v>296003</v>
      </c>
      <c r="E78" s="279">
        <v>28532</v>
      </c>
      <c r="F78" s="279">
        <v>32666</v>
      </c>
      <c r="G78" s="279">
        <v>23942</v>
      </c>
      <c r="H78" s="279">
        <v>64792</v>
      </c>
      <c r="I78" s="279">
        <v>34079</v>
      </c>
      <c r="J78" s="280">
        <v>32106</v>
      </c>
      <c r="K78" s="309">
        <v>40676</v>
      </c>
      <c r="L78" s="279">
        <v>20458</v>
      </c>
      <c r="M78" s="13">
        <v>18752</v>
      </c>
      <c r="N78" s="13"/>
      <c r="O78" s="13"/>
      <c r="P78" s="13"/>
      <c r="Q78" s="13">
        <f t="shared" si="6"/>
        <v>296003</v>
      </c>
      <c r="R78" s="113"/>
      <c r="S78" s="23">
        <f t="shared" si="7"/>
        <v>0</v>
      </c>
    </row>
    <row r="79" spans="2:19" s="115" customFormat="1">
      <c r="B79" s="299">
        <v>36</v>
      </c>
      <c r="C79" s="132" t="s">
        <v>64</v>
      </c>
      <c r="D79" s="128">
        <f t="shared" si="5"/>
        <v>187541</v>
      </c>
      <c r="E79" s="279">
        <v>17609</v>
      </c>
      <c r="F79" s="279">
        <v>21374</v>
      </c>
      <c r="G79" s="279">
        <v>20143</v>
      </c>
      <c r="H79" s="279">
        <v>21277</v>
      </c>
      <c r="I79" s="279">
        <v>22543</v>
      </c>
      <c r="J79" s="280">
        <v>20415</v>
      </c>
      <c r="K79" s="309">
        <v>21316</v>
      </c>
      <c r="L79" s="279">
        <v>21400</v>
      </c>
      <c r="M79" s="13">
        <v>21464</v>
      </c>
      <c r="N79" s="13"/>
      <c r="O79" s="13"/>
      <c r="P79" s="13"/>
      <c r="Q79" s="13">
        <f t="shared" si="6"/>
        <v>187541</v>
      </c>
      <c r="R79" s="113"/>
      <c r="S79" s="23">
        <f t="shared" si="7"/>
        <v>0</v>
      </c>
    </row>
    <row r="80" spans="2:19" s="115" customFormat="1">
      <c r="B80" s="299">
        <v>37</v>
      </c>
      <c r="C80" s="129" t="s">
        <v>161</v>
      </c>
      <c r="D80" s="130">
        <f t="shared" si="5"/>
        <v>177950</v>
      </c>
      <c r="E80" s="279">
        <v>13500</v>
      </c>
      <c r="F80" s="279">
        <v>15700</v>
      </c>
      <c r="G80" s="279">
        <v>16050</v>
      </c>
      <c r="H80" s="279">
        <v>18850</v>
      </c>
      <c r="I80" s="279">
        <v>20400</v>
      </c>
      <c r="J80" s="280">
        <v>20150</v>
      </c>
      <c r="K80" s="309">
        <v>22700</v>
      </c>
      <c r="L80" s="279">
        <v>23700</v>
      </c>
      <c r="M80" s="13">
        <v>26900</v>
      </c>
      <c r="N80" s="13"/>
      <c r="O80" s="13"/>
      <c r="P80" s="13"/>
      <c r="Q80" s="13">
        <f t="shared" si="6"/>
        <v>177950</v>
      </c>
      <c r="R80" s="113"/>
      <c r="S80" s="23">
        <f t="shared" si="7"/>
        <v>0</v>
      </c>
    </row>
    <row r="81" spans="2:19" s="115" customFormat="1">
      <c r="B81" s="299">
        <v>38</v>
      </c>
      <c r="C81" s="132" t="s">
        <v>45</v>
      </c>
      <c r="D81" s="128">
        <f t="shared" si="5"/>
        <v>217027</v>
      </c>
      <c r="E81" s="279">
        <v>18573</v>
      </c>
      <c r="F81" s="279">
        <v>22022</v>
      </c>
      <c r="G81" s="279">
        <v>19731</v>
      </c>
      <c r="H81" s="279">
        <v>21800</v>
      </c>
      <c r="I81" s="279">
        <v>25586</v>
      </c>
      <c r="J81" s="280">
        <v>25019</v>
      </c>
      <c r="K81" s="309">
        <v>30413</v>
      </c>
      <c r="L81" s="279">
        <v>27393</v>
      </c>
      <c r="M81" s="13">
        <v>26490</v>
      </c>
      <c r="N81" s="13"/>
      <c r="O81" s="13"/>
      <c r="P81" s="13"/>
      <c r="Q81" s="13">
        <f t="shared" si="6"/>
        <v>217027</v>
      </c>
      <c r="R81" s="113"/>
      <c r="S81" s="23">
        <f t="shared" si="7"/>
        <v>0</v>
      </c>
    </row>
    <row r="82" spans="2:19" s="115" customFormat="1">
      <c r="B82" s="299">
        <v>39</v>
      </c>
      <c r="C82" s="129" t="s">
        <v>162</v>
      </c>
      <c r="D82" s="130">
        <f t="shared" si="5"/>
        <v>166160</v>
      </c>
      <c r="E82" s="279">
        <v>12467</v>
      </c>
      <c r="F82" s="279">
        <v>12613</v>
      </c>
      <c r="G82" s="279">
        <v>16071</v>
      </c>
      <c r="H82" s="279">
        <v>18843</v>
      </c>
      <c r="I82" s="279">
        <v>18767</v>
      </c>
      <c r="J82" s="280">
        <v>20700</v>
      </c>
      <c r="K82" s="309">
        <v>25090</v>
      </c>
      <c r="L82" s="279">
        <v>22573</v>
      </c>
      <c r="M82" s="13">
        <v>19036</v>
      </c>
      <c r="N82" s="13"/>
      <c r="O82" s="13"/>
      <c r="P82" s="13"/>
      <c r="Q82" s="13">
        <f t="shared" si="6"/>
        <v>166160</v>
      </c>
      <c r="R82" s="113"/>
      <c r="S82" s="23">
        <f t="shared" si="7"/>
        <v>0</v>
      </c>
    </row>
    <row r="83" spans="2:19" s="115" customFormat="1">
      <c r="B83" s="299">
        <v>40</v>
      </c>
      <c r="C83" s="132" t="s">
        <v>163</v>
      </c>
      <c r="D83" s="128">
        <f>+Q83</f>
        <v>328679</v>
      </c>
      <c r="E83" s="279">
        <v>37250</v>
      </c>
      <c r="F83" s="279">
        <v>40680</v>
      </c>
      <c r="G83" s="279">
        <v>31800</v>
      </c>
      <c r="H83" s="279">
        <v>16515</v>
      </c>
      <c r="I83" s="279">
        <v>41296</v>
      </c>
      <c r="J83" s="281">
        <v>39300</v>
      </c>
      <c r="K83" s="311">
        <v>43955</v>
      </c>
      <c r="L83" s="288">
        <v>40500</v>
      </c>
      <c r="M83" s="13">
        <v>37383</v>
      </c>
      <c r="N83" s="13"/>
      <c r="O83" s="13"/>
      <c r="P83" s="13"/>
      <c r="Q83" s="13">
        <f t="shared" si="6"/>
        <v>328679</v>
      </c>
      <c r="R83" s="113"/>
      <c r="S83" s="23">
        <f t="shared" si="7"/>
        <v>0</v>
      </c>
    </row>
    <row r="84" spans="2:19" s="115" customFormat="1">
      <c r="B84" s="299">
        <v>41</v>
      </c>
      <c r="C84" s="129" t="s">
        <v>164</v>
      </c>
      <c r="D84" s="130">
        <f>+Q84</f>
        <v>161750</v>
      </c>
      <c r="E84" s="279">
        <v>17070</v>
      </c>
      <c r="F84" s="279">
        <v>18850</v>
      </c>
      <c r="G84" s="279">
        <v>16150</v>
      </c>
      <c r="H84" s="279">
        <v>17500</v>
      </c>
      <c r="I84" s="279">
        <v>17850</v>
      </c>
      <c r="J84" s="281">
        <v>17520</v>
      </c>
      <c r="K84" s="311">
        <v>20240</v>
      </c>
      <c r="L84" s="288">
        <v>18870</v>
      </c>
      <c r="M84" s="13">
        <v>17700</v>
      </c>
      <c r="N84" s="13"/>
      <c r="O84" s="13"/>
      <c r="P84" s="13"/>
      <c r="Q84" s="13">
        <f t="shared" si="6"/>
        <v>161750</v>
      </c>
      <c r="R84" s="113"/>
      <c r="S84" s="23">
        <f t="shared" si="7"/>
        <v>0</v>
      </c>
    </row>
    <row r="85" spans="2:19" s="115" customFormat="1">
      <c r="B85" s="299">
        <v>42</v>
      </c>
      <c r="C85" s="132" t="s">
        <v>165</v>
      </c>
      <c r="D85" s="128">
        <f>+Q85</f>
        <v>180497</v>
      </c>
      <c r="E85" s="279">
        <v>14345</v>
      </c>
      <c r="F85" s="279">
        <v>17402</v>
      </c>
      <c r="G85" s="279">
        <v>16830</v>
      </c>
      <c r="H85" s="279">
        <v>19250</v>
      </c>
      <c r="I85" s="279">
        <v>23800</v>
      </c>
      <c r="J85" s="281">
        <v>22568</v>
      </c>
      <c r="K85" s="311">
        <v>26590</v>
      </c>
      <c r="L85" s="288">
        <v>20162</v>
      </c>
      <c r="M85" s="13">
        <v>19550</v>
      </c>
      <c r="N85" s="13"/>
      <c r="O85" s="13"/>
      <c r="P85" s="13"/>
      <c r="Q85" s="13">
        <f t="shared" si="6"/>
        <v>180497</v>
      </c>
      <c r="R85" s="113"/>
      <c r="S85" s="23">
        <f t="shared" si="7"/>
        <v>0</v>
      </c>
    </row>
    <row r="86" spans="2:19" s="115" customFormat="1">
      <c r="B86" s="299">
        <v>43</v>
      </c>
      <c r="C86" s="129" t="s">
        <v>154</v>
      </c>
      <c r="D86" s="130">
        <f>+Q86</f>
        <v>124769</v>
      </c>
      <c r="E86" s="279">
        <v>11453</v>
      </c>
      <c r="F86" s="279">
        <v>13701</v>
      </c>
      <c r="G86" s="279">
        <v>12245</v>
      </c>
      <c r="H86" s="279">
        <v>13290</v>
      </c>
      <c r="I86" s="279">
        <v>14240</v>
      </c>
      <c r="J86" s="281">
        <v>14015</v>
      </c>
      <c r="K86" s="311">
        <v>16735</v>
      </c>
      <c r="L86" s="288">
        <v>15190</v>
      </c>
      <c r="M86" s="13">
        <v>13900</v>
      </c>
      <c r="N86" s="13"/>
      <c r="O86" s="13"/>
      <c r="P86" s="13"/>
      <c r="Q86" s="13">
        <f t="shared" si="6"/>
        <v>124769</v>
      </c>
      <c r="R86" s="113"/>
      <c r="S86" s="23">
        <f t="shared" si="7"/>
        <v>0</v>
      </c>
    </row>
    <row r="87" spans="2:19" s="115" customFormat="1">
      <c r="B87" s="299">
        <v>44</v>
      </c>
      <c r="C87" s="132" t="s">
        <v>182</v>
      </c>
      <c r="D87" s="128">
        <f>+Q87</f>
        <v>679717</v>
      </c>
      <c r="E87" s="279">
        <v>48768</v>
      </c>
      <c r="F87" s="279">
        <v>59061</v>
      </c>
      <c r="G87" s="279">
        <v>70758</v>
      </c>
      <c r="H87" s="279">
        <v>86499</v>
      </c>
      <c r="I87" s="279">
        <v>92696</v>
      </c>
      <c r="J87" s="281">
        <v>86070</v>
      </c>
      <c r="K87" s="311">
        <v>104477</v>
      </c>
      <c r="L87" s="288">
        <v>78405</v>
      </c>
      <c r="M87" s="13">
        <v>52983</v>
      </c>
      <c r="N87" s="13"/>
      <c r="O87" s="13"/>
      <c r="P87" s="13"/>
      <c r="Q87" s="13">
        <f t="shared" si="6"/>
        <v>679717</v>
      </c>
      <c r="R87" s="113"/>
      <c r="S87" s="23">
        <f t="shared" si="7"/>
        <v>0</v>
      </c>
    </row>
    <row r="88" spans="2:19" s="115" customFormat="1">
      <c r="B88" s="299">
        <v>45</v>
      </c>
      <c r="C88" s="129" t="s">
        <v>23</v>
      </c>
      <c r="D88" s="130">
        <f t="shared" si="5"/>
        <v>396341</v>
      </c>
      <c r="E88" s="279">
        <v>35244</v>
      </c>
      <c r="F88" s="279">
        <v>43024</v>
      </c>
      <c r="G88" s="279">
        <v>39383</v>
      </c>
      <c r="H88" s="279">
        <v>44116</v>
      </c>
      <c r="I88" s="279">
        <v>48403</v>
      </c>
      <c r="J88" s="280">
        <v>43022</v>
      </c>
      <c r="K88" s="309">
        <v>50127</v>
      </c>
      <c r="L88" s="279">
        <v>47720</v>
      </c>
      <c r="M88" s="13">
        <v>45302</v>
      </c>
      <c r="N88" s="13"/>
      <c r="O88" s="13"/>
      <c r="P88" s="13"/>
      <c r="Q88" s="13">
        <f t="shared" si="6"/>
        <v>396341</v>
      </c>
      <c r="R88" s="113"/>
      <c r="S88" s="23">
        <f t="shared" si="7"/>
        <v>0</v>
      </c>
    </row>
    <row r="89" spans="2:19" s="115" customFormat="1" ht="13.5" customHeight="1">
      <c r="B89" s="299">
        <v>46</v>
      </c>
      <c r="C89" s="132" t="s">
        <v>146</v>
      </c>
      <c r="D89" s="128">
        <f t="shared" si="5"/>
        <v>8260</v>
      </c>
      <c r="E89" s="279">
        <v>0</v>
      </c>
      <c r="F89" s="279">
        <v>720</v>
      </c>
      <c r="G89" s="279">
        <v>3240</v>
      </c>
      <c r="H89" s="279">
        <v>3480</v>
      </c>
      <c r="I89" s="279">
        <v>820</v>
      </c>
      <c r="J89" s="280">
        <v>0</v>
      </c>
      <c r="K89" s="309">
        <v>0</v>
      </c>
      <c r="L89" s="279"/>
      <c r="M89" s="13"/>
      <c r="N89" s="13"/>
      <c r="O89" s="13"/>
      <c r="P89" s="13"/>
      <c r="Q89" s="13">
        <f t="shared" si="6"/>
        <v>8260</v>
      </c>
      <c r="R89" s="113"/>
      <c r="S89" s="23">
        <f t="shared" si="7"/>
        <v>0</v>
      </c>
    </row>
    <row r="90" spans="2:19" s="115" customFormat="1">
      <c r="B90" s="299">
        <v>47</v>
      </c>
      <c r="C90" s="129" t="s">
        <v>65</v>
      </c>
      <c r="D90" s="130">
        <f t="shared" si="5"/>
        <v>59216</v>
      </c>
      <c r="E90" s="279">
        <v>5392</v>
      </c>
      <c r="F90" s="279">
        <v>6376</v>
      </c>
      <c r="G90" s="279">
        <v>6092</v>
      </c>
      <c r="H90" s="279">
        <v>6768</v>
      </c>
      <c r="I90" s="279">
        <v>7143</v>
      </c>
      <c r="J90" s="280">
        <v>6513</v>
      </c>
      <c r="K90" s="309">
        <v>7510</v>
      </c>
      <c r="L90" s="279">
        <v>6867</v>
      </c>
      <c r="M90" s="13">
        <v>6555</v>
      </c>
      <c r="N90" s="13"/>
      <c r="O90" s="13"/>
      <c r="P90" s="13"/>
      <c r="Q90" s="13">
        <f t="shared" si="6"/>
        <v>59216</v>
      </c>
      <c r="R90" s="113"/>
      <c r="S90" s="23">
        <f t="shared" si="7"/>
        <v>0</v>
      </c>
    </row>
    <row r="91" spans="2:19" s="115" customFormat="1">
      <c r="B91" s="299">
        <v>48</v>
      </c>
      <c r="C91" s="132" t="s">
        <v>25</v>
      </c>
      <c r="D91" s="128">
        <f t="shared" si="5"/>
        <v>67117</v>
      </c>
      <c r="E91" s="279">
        <v>6200</v>
      </c>
      <c r="F91" s="279">
        <v>7265</v>
      </c>
      <c r="G91" s="279">
        <v>6944</v>
      </c>
      <c r="H91" s="279">
        <v>7666</v>
      </c>
      <c r="I91" s="279">
        <v>8034</v>
      </c>
      <c r="J91" s="280">
        <v>7406</v>
      </c>
      <c r="K91" s="309">
        <v>8580</v>
      </c>
      <c r="L91" s="279">
        <v>7696</v>
      </c>
      <c r="M91" s="13">
        <v>7326</v>
      </c>
      <c r="N91" s="13"/>
      <c r="O91" s="13"/>
      <c r="P91" s="13"/>
      <c r="Q91" s="13">
        <f t="shared" si="6"/>
        <v>67117</v>
      </c>
      <c r="R91" s="113"/>
      <c r="S91" s="23">
        <f t="shared" si="7"/>
        <v>0</v>
      </c>
    </row>
    <row r="92" spans="2:19" s="115" customFormat="1">
      <c r="B92" s="299">
        <v>49</v>
      </c>
      <c r="C92" s="129" t="s">
        <v>63</v>
      </c>
      <c r="D92" s="130">
        <f t="shared" si="5"/>
        <v>60413</v>
      </c>
      <c r="E92" s="279">
        <v>5360</v>
      </c>
      <c r="F92" s="279">
        <v>6490</v>
      </c>
      <c r="G92" s="279">
        <v>6160</v>
      </c>
      <c r="H92" s="279">
        <v>6885</v>
      </c>
      <c r="I92" s="279">
        <v>7396</v>
      </c>
      <c r="J92" s="280">
        <v>6653</v>
      </c>
      <c r="K92" s="309">
        <v>7749</v>
      </c>
      <c r="L92" s="279">
        <v>6995</v>
      </c>
      <c r="M92" s="13">
        <v>6725</v>
      </c>
      <c r="N92" s="13"/>
      <c r="O92" s="13"/>
      <c r="P92" s="13"/>
      <c r="Q92" s="13">
        <f t="shared" si="6"/>
        <v>60413</v>
      </c>
      <c r="R92" s="113"/>
      <c r="S92" s="23">
        <f t="shared" si="7"/>
        <v>0</v>
      </c>
    </row>
    <row r="93" spans="2:19" s="115" customFormat="1">
      <c r="B93" s="299">
        <v>50</v>
      </c>
      <c r="C93" s="132" t="s">
        <v>24</v>
      </c>
      <c r="D93" s="128">
        <f t="shared" si="5"/>
        <v>237676</v>
      </c>
      <c r="E93" s="279">
        <v>20226</v>
      </c>
      <c r="F93" s="279">
        <v>25719</v>
      </c>
      <c r="G93" s="279">
        <v>23371</v>
      </c>
      <c r="H93" s="279">
        <v>25933</v>
      </c>
      <c r="I93" s="279">
        <v>28618</v>
      </c>
      <c r="J93" s="280">
        <v>27479</v>
      </c>
      <c r="K93" s="309">
        <v>31184</v>
      </c>
      <c r="L93" s="279">
        <v>28297</v>
      </c>
      <c r="M93" s="13">
        <v>26849</v>
      </c>
      <c r="N93" s="13"/>
      <c r="O93" s="13"/>
      <c r="P93" s="13"/>
      <c r="Q93" s="13">
        <f t="shared" si="6"/>
        <v>237676</v>
      </c>
      <c r="R93" s="113"/>
      <c r="S93" s="23">
        <f t="shared" si="7"/>
        <v>0</v>
      </c>
    </row>
    <row r="94" spans="2:19" s="115" customFormat="1">
      <c r="B94" s="299">
        <v>51</v>
      </c>
      <c r="C94" s="129" t="s">
        <v>218</v>
      </c>
      <c r="D94" s="130">
        <f>+Q94</f>
        <v>203514</v>
      </c>
      <c r="E94" s="279">
        <v>15807</v>
      </c>
      <c r="F94" s="279">
        <v>19518</v>
      </c>
      <c r="G94" s="279">
        <v>19208</v>
      </c>
      <c r="H94" s="279">
        <v>19208</v>
      </c>
      <c r="I94" s="279">
        <v>24973</v>
      </c>
      <c r="J94" s="280">
        <v>22336</v>
      </c>
      <c r="K94" s="309">
        <v>28362</v>
      </c>
      <c r="L94" s="279">
        <v>27836</v>
      </c>
      <c r="M94" s="13">
        <v>26266</v>
      </c>
      <c r="N94" s="13"/>
      <c r="O94" s="13"/>
      <c r="P94" s="13"/>
      <c r="Q94" s="13">
        <f t="shared" si="6"/>
        <v>203514</v>
      </c>
      <c r="R94" s="113"/>
      <c r="S94" s="23">
        <f t="shared" si="7"/>
        <v>0</v>
      </c>
    </row>
    <row r="95" spans="2:19" s="115" customFormat="1">
      <c r="B95" s="299">
        <v>52</v>
      </c>
      <c r="C95" s="132" t="s">
        <v>60</v>
      </c>
      <c r="D95" s="128">
        <f t="shared" si="5"/>
        <v>271474</v>
      </c>
      <c r="E95" s="279">
        <v>29382</v>
      </c>
      <c r="F95" s="279">
        <v>29557</v>
      </c>
      <c r="G95" s="279">
        <v>28566</v>
      </c>
      <c r="H95" s="279">
        <v>33185</v>
      </c>
      <c r="I95" s="279">
        <v>31306</v>
      </c>
      <c r="J95" s="280">
        <v>31972</v>
      </c>
      <c r="K95" s="309">
        <v>37026</v>
      </c>
      <c r="L95" s="279">
        <v>26379</v>
      </c>
      <c r="M95" s="13">
        <v>24101</v>
      </c>
      <c r="N95" s="13"/>
      <c r="O95" s="13"/>
      <c r="P95" s="13"/>
      <c r="Q95" s="13">
        <f t="shared" si="6"/>
        <v>271474</v>
      </c>
      <c r="R95" s="113"/>
      <c r="S95" s="23">
        <f t="shared" si="7"/>
        <v>0</v>
      </c>
    </row>
    <row r="96" spans="2:19" s="115" customFormat="1">
      <c r="B96" s="299">
        <v>53</v>
      </c>
      <c r="C96" s="129" t="s">
        <v>26</v>
      </c>
      <c r="D96" s="130">
        <f t="shared" si="5"/>
        <v>356502</v>
      </c>
      <c r="E96" s="279">
        <v>31121</v>
      </c>
      <c r="F96" s="279">
        <v>36240</v>
      </c>
      <c r="G96" s="279">
        <v>35214</v>
      </c>
      <c r="H96" s="279">
        <v>38033</v>
      </c>
      <c r="I96" s="279">
        <v>42962</v>
      </c>
      <c r="J96" s="280">
        <v>41923</v>
      </c>
      <c r="K96" s="309">
        <v>48681</v>
      </c>
      <c r="L96" s="279">
        <v>40824</v>
      </c>
      <c r="M96" s="13">
        <v>41504</v>
      </c>
      <c r="N96" s="13"/>
      <c r="O96" s="13"/>
      <c r="P96" s="13"/>
      <c r="Q96" s="13">
        <f t="shared" si="6"/>
        <v>356502</v>
      </c>
      <c r="R96" s="113"/>
      <c r="S96" s="23">
        <f t="shared" si="7"/>
        <v>0</v>
      </c>
    </row>
    <row r="97" spans="2:19" s="115" customFormat="1">
      <c r="B97" s="299">
        <v>54</v>
      </c>
      <c r="C97" s="129" t="s">
        <v>229</v>
      </c>
      <c r="D97" s="130">
        <f t="shared" si="5"/>
        <v>250693</v>
      </c>
      <c r="E97" s="279">
        <v>20789</v>
      </c>
      <c r="F97" s="279">
        <v>25461</v>
      </c>
      <c r="G97" s="279">
        <v>24765</v>
      </c>
      <c r="H97" s="279">
        <v>25520</v>
      </c>
      <c r="I97" s="279">
        <v>28812</v>
      </c>
      <c r="J97" s="280">
        <v>26916</v>
      </c>
      <c r="K97" s="309">
        <v>33307</v>
      </c>
      <c r="L97" s="279">
        <v>33831</v>
      </c>
      <c r="M97" s="13">
        <v>31292</v>
      </c>
      <c r="N97" s="13"/>
      <c r="O97" s="13"/>
      <c r="P97" s="13"/>
      <c r="Q97" s="13">
        <f t="shared" si="6"/>
        <v>250693</v>
      </c>
      <c r="R97" s="113"/>
      <c r="S97" s="23">
        <f t="shared" si="7"/>
        <v>0</v>
      </c>
    </row>
    <row r="98" spans="2:19" s="115" customFormat="1">
      <c r="B98" s="299">
        <v>55</v>
      </c>
      <c r="C98" s="132" t="s">
        <v>27</v>
      </c>
      <c r="D98" s="128">
        <f t="shared" si="5"/>
        <v>203495</v>
      </c>
      <c r="E98" s="279">
        <v>18592</v>
      </c>
      <c r="F98" s="279">
        <v>22964</v>
      </c>
      <c r="G98" s="279">
        <v>20940</v>
      </c>
      <c r="H98" s="279">
        <v>23373</v>
      </c>
      <c r="I98" s="279">
        <v>26247</v>
      </c>
      <c r="J98" s="280">
        <v>21300</v>
      </c>
      <c r="K98" s="309">
        <v>25374</v>
      </c>
      <c r="L98" s="279">
        <v>23192</v>
      </c>
      <c r="M98" s="13">
        <v>21513</v>
      </c>
      <c r="N98" s="13"/>
      <c r="O98" s="13"/>
      <c r="P98" s="13"/>
      <c r="Q98" s="13">
        <f t="shared" si="6"/>
        <v>203495</v>
      </c>
      <c r="R98" s="113"/>
      <c r="S98" s="23">
        <f t="shared" si="7"/>
        <v>0</v>
      </c>
    </row>
    <row r="99" spans="2:19" s="115" customFormat="1">
      <c r="B99" s="299">
        <v>56</v>
      </c>
      <c r="C99" s="129" t="s">
        <v>166</v>
      </c>
      <c r="D99" s="130">
        <f t="shared" si="5"/>
        <v>66060</v>
      </c>
      <c r="E99" s="279">
        <v>2000</v>
      </c>
      <c r="F99" s="279">
        <v>5310</v>
      </c>
      <c r="G99" s="279">
        <v>7600</v>
      </c>
      <c r="H99" s="279">
        <v>9198</v>
      </c>
      <c r="I99" s="279">
        <v>8400</v>
      </c>
      <c r="J99" s="280">
        <v>8000</v>
      </c>
      <c r="K99" s="309">
        <v>9200</v>
      </c>
      <c r="L99" s="279">
        <v>7999</v>
      </c>
      <c r="M99" s="13">
        <v>8353</v>
      </c>
      <c r="N99" s="13"/>
      <c r="O99" s="13"/>
      <c r="P99" s="13"/>
      <c r="Q99" s="13">
        <f t="shared" si="6"/>
        <v>66060</v>
      </c>
      <c r="R99" s="113"/>
      <c r="S99" s="23">
        <f t="shared" si="7"/>
        <v>0</v>
      </c>
    </row>
    <row r="100" spans="2:19" s="115" customFormat="1">
      <c r="B100" s="299">
        <v>57</v>
      </c>
      <c r="C100" s="132" t="s">
        <v>35</v>
      </c>
      <c r="D100" s="128">
        <f t="shared" si="5"/>
        <v>141562</v>
      </c>
      <c r="E100" s="279">
        <v>13461</v>
      </c>
      <c r="F100" s="279">
        <v>15786</v>
      </c>
      <c r="G100" s="279">
        <v>15189</v>
      </c>
      <c r="H100" s="279">
        <v>13346</v>
      </c>
      <c r="I100" s="279">
        <v>17996</v>
      </c>
      <c r="J100" s="280">
        <v>16884</v>
      </c>
      <c r="K100" s="309">
        <v>19265</v>
      </c>
      <c r="L100" s="279">
        <v>17367</v>
      </c>
      <c r="M100" s="13">
        <v>12268</v>
      </c>
      <c r="N100" s="13"/>
      <c r="O100" s="13"/>
      <c r="P100" s="13"/>
      <c r="Q100" s="13">
        <f t="shared" si="6"/>
        <v>141562</v>
      </c>
      <c r="R100" s="113"/>
      <c r="S100" s="23">
        <f t="shared" si="7"/>
        <v>0</v>
      </c>
    </row>
    <row r="101" spans="2:19" s="115" customFormat="1">
      <c r="B101" s="299">
        <v>58</v>
      </c>
      <c r="C101" s="129" t="s">
        <v>44</v>
      </c>
      <c r="D101" s="130">
        <f t="shared" si="5"/>
        <v>83330</v>
      </c>
      <c r="E101" s="279">
        <v>7303</v>
      </c>
      <c r="F101" s="279">
        <v>8804</v>
      </c>
      <c r="G101" s="279">
        <v>8214</v>
      </c>
      <c r="H101" s="279">
        <v>7934</v>
      </c>
      <c r="I101" s="279">
        <v>8691</v>
      </c>
      <c r="J101" s="280">
        <v>9769</v>
      </c>
      <c r="K101" s="309">
        <v>10984</v>
      </c>
      <c r="L101" s="279">
        <v>10601</v>
      </c>
      <c r="M101" s="13">
        <v>11030</v>
      </c>
      <c r="N101" s="13"/>
      <c r="O101" s="13"/>
      <c r="P101" s="13"/>
      <c r="Q101" s="13">
        <f t="shared" si="6"/>
        <v>83330</v>
      </c>
      <c r="R101" s="113"/>
      <c r="S101" s="23">
        <f t="shared" si="7"/>
        <v>0</v>
      </c>
    </row>
    <row r="102" spans="2:19" s="115" customFormat="1">
      <c r="B102" s="299">
        <v>59</v>
      </c>
      <c r="C102" s="132" t="s">
        <v>61</v>
      </c>
      <c r="D102" s="128">
        <f t="shared" si="5"/>
        <v>180724</v>
      </c>
      <c r="E102" s="279">
        <v>17591</v>
      </c>
      <c r="F102" s="279">
        <v>20923</v>
      </c>
      <c r="G102" s="279">
        <v>20274</v>
      </c>
      <c r="H102" s="279">
        <v>23882</v>
      </c>
      <c r="I102" s="279">
        <v>24871</v>
      </c>
      <c r="J102" s="280">
        <v>22038</v>
      </c>
      <c r="K102" s="309">
        <v>18905</v>
      </c>
      <c r="L102" s="279">
        <v>16791</v>
      </c>
      <c r="M102" s="13">
        <v>15449</v>
      </c>
      <c r="N102" s="13"/>
      <c r="O102" s="13"/>
      <c r="P102" s="13"/>
      <c r="Q102" s="13">
        <f t="shared" si="6"/>
        <v>180724</v>
      </c>
      <c r="R102" s="113"/>
      <c r="S102" s="23">
        <f t="shared" si="7"/>
        <v>0</v>
      </c>
    </row>
    <row r="103" spans="2:19" s="115" customFormat="1">
      <c r="B103" s="299">
        <v>60</v>
      </c>
      <c r="C103" s="129" t="s">
        <v>41</v>
      </c>
      <c r="D103" s="130">
        <f t="shared" si="5"/>
        <v>127462</v>
      </c>
      <c r="E103" s="279">
        <v>10520</v>
      </c>
      <c r="F103" s="279">
        <v>13815</v>
      </c>
      <c r="G103" s="279">
        <v>12895</v>
      </c>
      <c r="H103" s="279">
        <v>14545</v>
      </c>
      <c r="I103" s="279">
        <v>15635</v>
      </c>
      <c r="J103" s="280">
        <v>13730</v>
      </c>
      <c r="K103" s="309">
        <v>15720</v>
      </c>
      <c r="L103" s="279">
        <v>15582</v>
      </c>
      <c r="M103" s="13">
        <v>15020</v>
      </c>
      <c r="N103" s="13"/>
      <c r="O103" s="13"/>
      <c r="P103" s="13"/>
      <c r="Q103" s="13">
        <f t="shared" si="6"/>
        <v>127462</v>
      </c>
      <c r="R103" s="113"/>
      <c r="S103" s="23">
        <f t="shared" si="7"/>
        <v>0</v>
      </c>
    </row>
    <row r="104" spans="2:19" s="115" customFormat="1">
      <c r="B104" s="299">
        <v>61</v>
      </c>
      <c r="C104" s="132" t="s">
        <v>30</v>
      </c>
      <c r="D104" s="128">
        <f t="shared" si="5"/>
        <v>257950</v>
      </c>
      <c r="E104" s="279">
        <v>22633</v>
      </c>
      <c r="F104" s="279">
        <v>25905</v>
      </c>
      <c r="G104" s="279">
        <v>21402</v>
      </c>
      <c r="H104" s="279">
        <v>26845</v>
      </c>
      <c r="I104" s="279">
        <v>38471</v>
      </c>
      <c r="J104" s="280">
        <v>28424</v>
      </c>
      <c r="K104" s="309">
        <v>31538</v>
      </c>
      <c r="L104" s="279">
        <v>31286</v>
      </c>
      <c r="M104" s="13">
        <v>31446</v>
      </c>
      <c r="N104" s="13"/>
      <c r="O104" s="13"/>
      <c r="P104" s="13"/>
      <c r="Q104" s="13">
        <f t="shared" si="6"/>
        <v>257950</v>
      </c>
      <c r="R104" s="113"/>
      <c r="S104" s="23">
        <f t="shared" si="7"/>
        <v>0</v>
      </c>
    </row>
    <row r="105" spans="2:19" s="115" customFormat="1">
      <c r="B105" s="299">
        <v>62</v>
      </c>
      <c r="C105" s="132" t="s">
        <v>232</v>
      </c>
      <c r="D105" s="128">
        <f>+Q105</f>
        <v>1597</v>
      </c>
      <c r="E105" s="279">
        <v>0</v>
      </c>
      <c r="F105" s="279"/>
      <c r="G105" s="279"/>
      <c r="H105" s="279"/>
      <c r="I105" s="279"/>
      <c r="J105" s="281">
        <v>0</v>
      </c>
      <c r="K105" s="311">
        <v>0</v>
      </c>
      <c r="L105" s="288">
        <v>0</v>
      </c>
      <c r="M105" s="14">
        <v>1597</v>
      </c>
      <c r="N105" s="14"/>
      <c r="O105" s="14"/>
      <c r="P105" s="13"/>
      <c r="Q105" s="13">
        <f t="shared" si="6"/>
        <v>1597</v>
      </c>
      <c r="R105" s="113"/>
      <c r="S105" s="23"/>
    </row>
    <row r="106" spans="2:19" s="115" customFormat="1">
      <c r="B106" s="299">
        <v>63</v>
      </c>
      <c r="C106" s="129" t="s">
        <v>28</v>
      </c>
      <c r="D106" s="130">
        <f t="shared" si="5"/>
        <v>268452</v>
      </c>
      <c r="E106" s="279">
        <v>25029</v>
      </c>
      <c r="F106" s="279">
        <v>24222</v>
      </c>
      <c r="G106" s="279">
        <v>27542</v>
      </c>
      <c r="H106" s="279">
        <v>29563</v>
      </c>
      <c r="I106" s="279">
        <v>33691</v>
      </c>
      <c r="J106" s="280">
        <v>28921</v>
      </c>
      <c r="K106" s="309">
        <v>35580</v>
      </c>
      <c r="L106" s="279">
        <v>32488</v>
      </c>
      <c r="M106" s="13">
        <v>31416</v>
      </c>
      <c r="N106" s="13"/>
      <c r="O106" s="13"/>
      <c r="P106" s="13"/>
      <c r="Q106" s="13">
        <f t="shared" si="6"/>
        <v>268452</v>
      </c>
      <c r="R106" s="113"/>
      <c r="S106" s="23">
        <f t="shared" si="7"/>
        <v>0</v>
      </c>
    </row>
    <row r="107" spans="2:19" s="115" customFormat="1">
      <c r="B107" s="299">
        <v>64</v>
      </c>
      <c r="C107" s="132" t="s">
        <v>184</v>
      </c>
      <c r="D107" s="128">
        <f t="shared" si="5"/>
        <v>188826</v>
      </c>
      <c r="E107" s="279">
        <v>15192</v>
      </c>
      <c r="F107" s="279">
        <v>21429</v>
      </c>
      <c r="G107" s="279">
        <v>20220</v>
      </c>
      <c r="H107" s="279">
        <v>20566</v>
      </c>
      <c r="I107" s="279">
        <v>21979</v>
      </c>
      <c r="J107" s="280">
        <v>20376</v>
      </c>
      <c r="K107" s="309">
        <v>25072</v>
      </c>
      <c r="L107" s="279">
        <v>22837</v>
      </c>
      <c r="M107" s="13">
        <v>21155</v>
      </c>
      <c r="N107" s="13"/>
      <c r="O107" s="13"/>
      <c r="P107" s="13"/>
      <c r="Q107" s="13">
        <f t="shared" si="6"/>
        <v>188826</v>
      </c>
      <c r="R107" s="113"/>
      <c r="S107" s="23">
        <f t="shared" si="7"/>
        <v>0</v>
      </c>
    </row>
    <row r="108" spans="2:19" s="115" customFormat="1">
      <c r="B108" s="299">
        <v>65</v>
      </c>
      <c r="C108" s="129" t="s">
        <v>34</v>
      </c>
      <c r="D108" s="130">
        <f t="shared" si="5"/>
        <v>392633</v>
      </c>
      <c r="E108" s="279">
        <v>27334</v>
      </c>
      <c r="F108" s="279">
        <v>32443</v>
      </c>
      <c r="G108" s="279">
        <v>32035</v>
      </c>
      <c r="H108" s="279">
        <v>34945</v>
      </c>
      <c r="I108" s="279">
        <v>38437</v>
      </c>
      <c r="J108" s="289">
        <v>47202</v>
      </c>
      <c r="K108" s="312">
        <v>61825</v>
      </c>
      <c r="L108" s="290">
        <v>60330</v>
      </c>
      <c r="M108" s="13">
        <v>58082</v>
      </c>
      <c r="N108" s="13"/>
      <c r="O108" s="13"/>
      <c r="P108" s="13"/>
      <c r="Q108" s="13">
        <f t="shared" si="6"/>
        <v>392633</v>
      </c>
      <c r="R108" s="113"/>
      <c r="S108" s="23">
        <f t="shared" si="7"/>
        <v>0</v>
      </c>
    </row>
    <row r="109" spans="2:19" s="115" customFormat="1">
      <c r="B109" s="299">
        <v>66</v>
      </c>
      <c r="C109" s="132" t="s">
        <v>29</v>
      </c>
      <c r="D109" s="128">
        <f t="shared" si="5"/>
        <v>338039</v>
      </c>
      <c r="E109" s="279">
        <v>30614</v>
      </c>
      <c r="F109" s="279">
        <v>37404</v>
      </c>
      <c r="G109" s="279">
        <v>34609</v>
      </c>
      <c r="H109" s="279">
        <v>38898</v>
      </c>
      <c r="I109" s="279">
        <v>41182</v>
      </c>
      <c r="J109" s="280">
        <v>37498</v>
      </c>
      <c r="K109" s="309">
        <v>42215</v>
      </c>
      <c r="L109" s="279">
        <v>38700</v>
      </c>
      <c r="M109" s="13">
        <v>36919</v>
      </c>
      <c r="N109" s="13"/>
      <c r="O109" s="13"/>
      <c r="P109" s="13"/>
      <c r="Q109" s="13">
        <f t="shared" ref="Q109:Q132" si="9">SUM(E109:P109)</f>
        <v>338039</v>
      </c>
      <c r="R109" s="113"/>
      <c r="S109" s="23">
        <f t="shared" si="7"/>
        <v>0</v>
      </c>
    </row>
    <row r="110" spans="2:19" s="115" customFormat="1">
      <c r="B110" s="299">
        <v>67</v>
      </c>
      <c r="C110" s="129" t="s">
        <v>38</v>
      </c>
      <c r="D110" s="130">
        <f t="shared" si="5"/>
        <v>344825</v>
      </c>
      <c r="E110" s="279">
        <v>26860</v>
      </c>
      <c r="F110" s="279">
        <v>32304</v>
      </c>
      <c r="G110" s="279">
        <v>35850</v>
      </c>
      <c r="H110" s="279">
        <v>39597</v>
      </c>
      <c r="I110" s="279">
        <v>39058</v>
      </c>
      <c r="J110" s="280">
        <v>39082</v>
      </c>
      <c r="K110" s="309">
        <v>46332</v>
      </c>
      <c r="L110" s="279">
        <v>43805</v>
      </c>
      <c r="M110" s="13">
        <v>41937</v>
      </c>
      <c r="N110" s="13"/>
      <c r="O110" s="13"/>
      <c r="P110" s="13"/>
      <c r="Q110" s="13">
        <f t="shared" si="9"/>
        <v>344825</v>
      </c>
      <c r="R110" s="113"/>
      <c r="S110" s="23">
        <f t="shared" ref="S110:S130" si="10">+Q110*R110</f>
        <v>0</v>
      </c>
    </row>
    <row r="111" spans="2:19" s="115" customFormat="1">
      <c r="B111" s="299">
        <v>68</v>
      </c>
      <c r="C111" s="132" t="s">
        <v>167</v>
      </c>
      <c r="D111" s="128">
        <f>Q111</f>
        <v>29598</v>
      </c>
      <c r="E111" s="279"/>
      <c r="F111" s="279"/>
      <c r="G111" s="279">
        <v>7607</v>
      </c>
      <c r="H111" s="279">
        <v>6702</v>
      </c>
      <c r="I111" s="279">
        <v>3312</v>
      </c>
      <c r="J111" s="280">
        <v>0</v>
      </c>
      <c r="K111" s="309">
        <v>0</v>
      </c>
      <c r="L111" s="279"/>
      <c r="M111" s="13">
        <v>11977</v>
      </c>
      <c r="N111" s="13"/>
      <c r="O111" s="13"/>
      <c r="P111" s="13"/>
      <c r="Q111" s="13">
        <f t="shared" si="9"/>
        <v>29598</v>
      </c>
      <c r="R111" s="113"/>
      <c r="S111" s="23">
        <f t="shared" si="10"/>
        <v>0</v>
      </c>
    </row>
    <row r="112" spans="2:19" s="115" customFormat="1">
      <c r="B112" s="299">
        <v>69</v>
      </c>
      <c r="C112" s="129" t="s">
        <v>40</v>
      </c>
      <c r="D112" s="130">
        <f>+Q112</f>
        <v>443119</v>
      </c>
      <c r="E112" s="279">
        <v>40792</v>
      </c>
      <c r="F112" s="279">
        <v>46887</v>
      </c>
      <c r="G112" s="279">
        <v>47471</v>
      </c>
      <c r="H112" s="279">
        <v>50496</v>
      </c>
      <c r="I112" s="279">
        <v>53671</v>
      </c>
      <c r="J112" s="280">
        <v>47760</v>
      </c>
      <c r="K112" s="309">
        <v>57312</v>
      </c>
      <c r="L112" s="279">
        <v>50515</v>
      </c>
      <c r="M112" s="13">
        <v>48215</v>
      </c>
      <c r="N112" s="13"/>
      <c r="O112" s="13"/>
      <c r="P112" s="13"/>
      <c r="Q112" s="13">
        <f t="shared" si="9"/>
        <v>443119</v>
      </c>
      <c r="R112" s="113"/>
      <c r="S112" s="23">
        <f t="shared" si="10"/>
        <v>0</v>
      </c>
    </row>
    <row r="113" spans="2:19" s="115" customFormat="1">
      <c r="B113" s="299">
        <v>70</v>
      </c>
      <c r="C113" s="132" t="s">
        <v>225</v>
      </c>
      <c r="D113" s="128">
        <f>+Q113</f>
        <v>851549</v>
      </c>
      <c r="E113" s="279">
        <v>42733</v>
      </c>
      <c r="F113" s="279">
        <v>47407</v>
      </c>
      <c r="G113" s="279">
        <v>43475</v>
      </c>
      <c r="H113" s="279">
        <v>74584</v>
      </c>
      <c r="I113" s="279">
        <v>148395</v>
      </c>
      <c r="J113" s="280">
        <v>132773</v>
      </c>
      <c r="K113" s="309">
        <v>118999</v>
      </c>
      <c r="L113" s="279">
        <v>99729</v>
      </c>
      <c r="M113" s="13">
        <v>143454</v>
      </c>
      <c r="N113" s="13"/>
      <c r="O113" s="13"/>
      <c r="P113" s="13"/>
      <c r="Q113" s="13">
        <f t="shared" si="9"/>
        <v>851549</v>
      </c>
      <c r="R113" s="113"/>
      <c r="S113" s="23">
        <f t="shared" si="10"/>
        <v>0</v>
      </c>
    </row>
    <row r="114" spans="2:19" s="115" customFormat="1">
      <c r="B114" s="299">
        <v>71</v>
      </c>
      <c r="C114" s="132" t="s">
        <v>143</v>
      </c>
      <c r="D114" s="128">
        <f t="shared" si="5"/>
        <v>229648</v>
      </c>
      <c r="E114" s="279">
        <v>21907</v>
      </c>
      <c r="F114" s="279">
        <v>25175</v>
      </c>
      <c r="G114" s="279">
        <v>23087</v>
      </c>
      <c r="H114" s="279">
        <v>26469</v>
      </c>
      <c r="I114" s="279">
        <v>28649</v>
      </c>
      <c r="J114" s="280">
        <v>25263</v>
      </c>
      <c r="K114" s="309">
        <v>29053</v>
      </c>
      <c r="L114" s="279">
        <v>24485</v>
      </c>
      <c r="M114" s="13">
        <v>25560</v>
      </c>
      <c r="N114" s="13"/>
      <c r="O114" s="13"/>
      <c r="P114" s="13"/>
      <c r="Q114" s="13">
        <f t="shared" si="9"/>
        <v>229648</v>
      </c>
      <c r="R114" s="113"/>
      <c r="S114" s="23">
        <f t="shared" si="10"/>
        <v>0</v>
      </c>
    </row>
    <row r="115" spans="2:19" s="115" customFormat="1">
      <c r="B115" s="299">
        <v>72</v>
      </c>
      <c r="C115" s="129" t="s">
        <v>31</v>
      </c>
      <c r="D115" s="130">
        <f t="shared" si="5"/>
        <v>328759</v>
      </c>
      <c r="E115" s="279">
        <v>30585</v>
      </c>
      <c r="F115" s="279">
        <v>37511</v>
      </c>
      <c r="G115" s="279">
        <v>31573</v>
      </c>
      <c r="H115" s="279">
        <v>24887</v>
      </c>
      <c r="I115" s="279">
        <v>44157</v>
      </c>
      <c r="J115" s="280">
        <v>30032</v>
      </c>
      <c r="K115" s="309">
        <v>42898</v>
      </c>
      <c r="L115" s="279">
        <v>46166</v>
      </c>
      <c r="M115" s="13">
        <v>40950</v>
      </c>
      <c r="N115" s="13"/>
      <c r="O115" s="13"/>
      <c r="P115" s="13"/>
      <c r="Q115" s="13">
        <f t="shared" si="9"/>
        <v>328759</v>
      </c>
      <c r="R115" s="113"/>
      <c r="S115" s="23">
        <f t="shared" si="10"/>
        <v>0</v>
      </c>
    </row>
    <row r="116" spans="2:19" s="115" customFormat="1">
      <c r="B116" s="299">
        <v>73</v>
      </c>
      <c r="C116" s="132" t="s">
        <v>32</v>
      </c>
      <c r="D116" s="128">
        <f t="shared" si="5"/>
        <v>203780</v>
      </c>
      <c r="E116" s="279">
        <v>17983</v>
      </c>
      <c r="F116" s="279">
        <v>22207</v>
      </c>
      <c r="G116" s="279">
        <v>21803</v>
      </c>
      <c r="H116" s="279">
        <v>19563</v>
      </c>
      <c r="I116" s="279">
        <v>23180</v>
      </c>
      <c r="J116" s="280">
        <v>21546</v>
      </c>
      <c r="K116" s="309">
        <v>26325</v>
      </c>
      <c r="L116" s="279">
        <v>25731</v>
      </c>
      <c r="M116" s="13">
        <v>25442</v>
      </c>
      <c r="N116" s="13"/>
      <c r="O116" s="13"/>
      <c r="P116" s="13"/>
      <c r="Q116" s="13">
        <f t="shared" si="9"/>
        <v>203780</v>
      </c>
      <c r="R116" s="113"/>
      <c r="S116" s="23">
        <f t="shared" si="10"/>
        <v>0</v>
      </c>
    </row>
    <row r="117" spans="2:19" s="115" customFormat="1">
      <c r="B117" s="299">
        <v>74</v>
      </c>
      <c r="C117" s="129" t="s">
        <v>33</v>
      </c>
      <c r="D117" s="130">
        <f t="shared" si="5"/>
        <v>292945</v>
      </c>
      <c r="E117" s="279">
        <v>20517</v>
      </c>
      <c r="F117" s="279">
        <v>29808</v>
      </c>
      <c r="G117" s="279">
        <v>26796</v>
      </c>
      <c r="H117" s="279">
        <v>33788</v>
      </c>
      <c r="I117" s="279">
        <v>31361</v>
      </c>
      <c r="J117" s="280">
        <v>36021</v>
      </c>
      <c r="K117" s="309">
        <v>39215</v>
      </c>
      <c r="L117" s="279">
        <v>38167</v>
      </c>
      <c r="M117" s="13">
        <v>37272</v>
      </c>
      <c r="N117" s="13"/>
      <c r="O117" s="13"/>
      <c r="P117" s="13"/>
      <c r="Q117" s="13">
        <f t="shared" si="9"/>
        <v>292945</v>
      </c>
      <c r="R117" s="113"/>
      <c r="S117" s="23">
        <f t="shared" si="10"/>
        <v>0</v>
      </c>
    </row>
    <row r="118" spans="2:19" s="115" customFormat="1">
      <c r="B118" s="299">
        <v>75</v>
      </c>
      <c r="C118" s="132" t="s">
        <v>222</v>
      </c>
      <c r="D118" s="128">
        <f t="shared" si="5"/>
        <v>325530</v>
      </c>
      <c r="E118" s="279">
        <v>28177</v>
      </c>
      <c r="F118" s="279">
        <v>33970</v>
      </c>
      <c r="G118" s="279">
        <v>34130</v>
      </c>
      <c r="H118" s="279">
        <v>40050</v>
      </c>
      <c r="I118" s="279">
        <v>38381</v>
      </c>
      <c r="J118" s="280">
        <v>34919</v>
      </c>
      <c r="K118" s="309">
        <v>40864</v>
      </c>
      <c r="L118" s="279">
        <v>38944</v>
      </c>
      <c r="M118" s="13">
        <v>36095</v>
      </c>
      <c r="N118" s="13"/>
      <c r="O118" s="13"/>
      <c r="P118" s="13"/>
      <c r="Q118" s="13">
        <f t="shared" si="9"/>
        <v>325530</v>
      </c>
      <c r="R118" s="113"/>
      <c r="S118" s="23">
        <f t="shared" si="10"/>
        <v>0</v>
      </c>
    </row>
    <row r="119" spans="2:19" s="115" customFormat="1">
      <c r="B119" s="299">
        <v>76</v>
      </c>
      <c r="C119" s="129" t="s">
        <v>148</v>
      </c>
      <c r="D119" s="130">
        <f t="shared" si="5"/>
        <v>270484</v>
      </c>
      <c r="E119" s="279">
        <v>24145</v>
      </c>
      <c r="F119" s="279">
        <v>28533</v>
      </c>
      <c r="G119" s="279">
        <v>26752</v>
      </c>
      <c r="H119" s="279">
        <v>30090</v>
      </c>
      <c r="I119" s="279">
        <v>31455</v>
      </c>
      <c r="J119" s="280">
        <v>28849</v>
      </c>
      <c r="K119" s="309">
        <v>36283</v>
      </c>
      <c r="L119" s="279">
        <v>33070</v>
      </c>
      <c r="M119" s="13">
        <v>31307</v>
      </c>
      <c r="N119" s="13"/>
      <c r="O119" s="13"/>
      <c r="P119" s="13"/>
      <c r="Q119" s="13">
        <f t="shared" si="9"/>
        <v>270484</v>
      </c>
      <c r="R119" s="113"/>
      <c r="S119" s="23">
        <f t="shared" si="10"/>
        <v>0</v>
      </c>
    </row>
    <row r="120" spans="2:19" s="115" customFormat="1">
      <c r="B120" s="299">
        <v>77</v>
      </c>
      <c r="C120" s="132" t="s">
        <v>39</v>
      </c>
      <c r="D120" s="128">
        <f t="shared" si="5"/>
        <v>220386</v>
      </c>
      <c r="E120" s="279">
        <v>21945</v>
      </c>
      <c r="F120" s="279">
        <v>22761</v>
      </c>
      <c r="G120" s="279">
        <v>20978</v>
      </c>
      <c r="H120" s="279">
        <v>18932</v>
      </c>
      <c r="I120" s="279">
        <v>21781</v>
      </c>
      <c r="J120" s="280">
        <v>22696</v>
      </c>
      <c r="K120" s="309">
        <v>31535</v>
      </c>
      <c r="L120" s="279">
        <v>30898</v>
      </c>
      <c r="M120" s="13">
        <v>28860</v>
      </c>
      <c r="N120" s="13"/>
      <c r="O120" s="13"/>
      <c r="P120" s="13"/>
      <c r="Q120" s="13">
        <f t="shared" si="9"/>
        <v>220386</v>
      </c>
      <c r="R120" s="113"/>
      <c r="S120" s="23">
        <f t="shared" si="10"/>
        <v>0</v>
      </c>
    </row>
    <row r="121" spans="2:19" s="115" customFormat="1">
      <c r="B121" s="299">
        <v>78</v>
      </c>
      <c r="C121" s="129" t="s">
        <v>36</v>
      </c>
      <c r="D121" s="130">
        <f t="shared" si="5"/>
        <v>95125</v>
      </c>
      <c r="E121" s="279">
        <v>7493</v>
      </c>
      <c r="F121" s="279">
        <v>8953</v>
      </c>
      <c r="G121" s="279">
        <v>10008</v>
      </c>
      <c r="H121" s="279">
        <v>10821</v>
      </c>
      <c r="I121" s="279">
        <v>10867</v>
      </c>
      <c r="J121" s="280">
        <v>10254</v>
      </c>
      <c r="K121" s="309">
        <v>12119</v>
      </c>
      <c r="L121" s="279">
        <v>11722</v>
      </c>
      <c r="M121" s="13">
        <v>12888</v>
      </c>
      <c r="N121" s="13"/>
      <c r="O121" s="13"/>
      <c r="P121" s="13"/>
      <c r="Q121" s="13">
        <f t="shared" si="9"/>
        <v>95125</v>
      </c>
      <c r="R121" s="113"/>
      <c r="S121" s="23">
        <f t="shared" si="10"/>
        <v>0</v>
      </c>
    </row>
    <row r="122" spans="2:19" s="115" customFormat="1">
      <c r="B122" s="299">
        <v>79</v>
      </c>
      <c r="C122" s="132" t="s">
        <v>74</v>
      </c>
      <c r="D122" s="128">
        <f t="shared" si="5"/>
        <v>254907</v>
      </c>
      <c r="E122" s="279">
        <v>22955</v>
      </c>
      <c r="F122" s="279">
        <v>26624</v>
      </c>
      <c r="G122" s="279">
        <v>28418</v>
      </c>
      <c r="H122" s="279">
        <v>28801</v>
      </c>
      <c r="I122" s="279">
        <v>29597</v>
      </c>
      <c r="J122" s="280">
        <v>26822</v>
      </c>
      <c r="K122" s="309">
        <v>33603</v>
      </c>
      <c r="L122" s="279">
        <v>28864</v>
      </c>
      <c r="M122" s="13">
        <v>29223</v>
      </c>
      <c r="N122" s="13"/>
      <c r="O122" s="13"/>
      <c r="P122" s="13"/>
      <c r="Q122" s="13">
        <f t="shared" si="9"/>
        <v>254907</v>
      </c>
      <c r="R122" s="113"/>
      <c r="S122" s="23">
        <f t="shared" si="10"/>
        <v>0</v>
      </c>
    </row>
    <row r="123" spans="2:19" s="115" customFormat="1">
      <c r="B123" s="299">
        <v>80</v>
      </c>
      <c r="C123" s="129" t="s">
        <v>37</v>
      </c>
      <c r="D123" s="130">
        <f t="shared" si="5"/>
        <v>299044</v>
      </c>
      <c r="E123" s="279">
        <v>23179</v>
      </c>
      <c r="F123" s="279">
        <v>34612</v>
      </c>
      <c r="G123" s="279">
        <v>28431</v>
      </c>
      <c r="H123" s="279">
        <v>31473</v>
      </c>
      <c r="I123" s="279">
        <v>35627</v>
      </c>
      <c r="J123" s="280">
        <v>33425</v>
      </c>
      <c r="K123" s="309">
        <v>39981</v>
      </c>
      <c r="L123" s="279">
        <v>37022</v>
      </c>
      <c r="M123" s="13">
        <v>35294</v>
      </c>
      <c r="N123" s="13"/>
      <c r="O123" s="13"/>
      <c r="P123" s="13"/>
      <c r="Q123" s="13">
        <f t="shared" si="9"/>
        <v>299044</v>
      </c>
      <c r="R123" s="113"/>
      <c r="S123" s="23">
        <f t="shared" si="10"/>
        <v>0</v>
      </c>
    </row>
    <row r="124" spans="2:19" s="115" customFormat="1">
      <c r="B124" s="299">
        <v>81</v>
      </c>
      <c r="C124" s="132" t="s">
        <v>142</v>
      </c>
      <c r="D124" s="128">
        <f t="shared" si="5"/>
        <v>317566</v>
      </c>
      <c r="E124" s="279">
        <v>30664</v>
      </c>
      <c r="F124" s="279">
        <v>33291</v>
      </c>
      <c r="G124" s="279">
        <v>33255</v>
      </c>
      <c r="H124" s="279">
        <v>30989</v>
      </c>
      <c r="I124" s="279">
        <v>36250</v>
      </c>
      <c r="J124" s="280">
        <v>33056</v>
      </c>
      <c r="K124" s="309">
        <v>41677</v>
      </c>
      <c r="L124" s="279">
        <v>44383</v>
      </c>
      <c r="M124" s="13">
        <v>34001</v>
      </c>
      <c r="N124" s="13"/>
      <c r="O124" s="13"/>
      <c r="P124" s="13"/>
      <c r="Q124" s="13">
        <f t="shared" si="9"/>
        <v>317566</v>
      </c>
      <c r="R124" s="113"/>
      <c r="S124" s="23">
        <f t="shared" si="10"/>
        <v>0</v>
      </c>
    </row>
    <row r="125" spans="2:19" s="115" customFormat="1">
      <c r="B125" s="299">
        <v>82</v>
      </c>
      <c r="C125" s="129" t="s">
        <v>43</v>
      </c>
      <c r="D125" s="130">
        <f t="shared" si="5"/>
        <v>247703</v>
      </c>
      <c r="E125" s="279">
        <v>22253</v>
      </c>
      <c r="F125" s="279">
        <v>26791</v>
      </c>
      <c r="G125" s="279">
        <v>25836</v>
      </c>
      <c r="H125" s="279">
        <v>27950</v>
      </c>
      <c r="I125" s="279">
        <v>30477</v>
      </c>
      <c r="J125" s="281">
        <v>27455</v>
      </c>
      <c r="K125" s="311">
        <v>31746</v>
      </c>
      <c r="L125" s="288">
        <v>28279</v>
      </c>
      <c r="M125" s="13">
        <v>26916</v>
      </c>
      <c r="N125" s="13"/>
      <c r="O125" s="13"/>
      <c r="P125" s="13"/>
      <c r="Q125" s="13">
        <f t="shared" si="9"/>
        <v>247703</v>
      </c>
      <c r="R125" s="113"/>
      <c r="S125" s="23">
        <f t="shared" si="10"/>
        <v>0</v>
      </c>
    </row>
    <row r="126" spans="2:19" s="115" customFormat="1">
      <c r="B126" s="299">
        <v>83</v>
      </c>
      <c r="C126" s="129" t="s">
        <v>224</v>
      </c>
      <c r="D126" s="130">
        <f>+Q126</f>
        <v>150352</v>
      </c>
      <c r="E126" s="279">
        <v>9633</v>
      </c>
      <c r="F126" s="279">
        <v>16839</v>
      </c>
      <c r="G126" s="279">
        <v>15684</v>
      </c>
      <c r="H126" s="279">
        <v>17584</v>
      </c>
      <c r="I126" s="279">
        <v>18195</v>
      </c>
      <c r="J126" s="280">
        <v>18203</v>
      </c>
      <c r="K126" s="309">
        <v>20702</v>
      </c>
      <c r="L126" s="279">
        <v>17600</v>
      </c>
      <c r="M126" s="13">
        <v>15912</v>
      </c>
      <c r="N126" s="13"/>
      <c r="O126" s="13"/>
      <c r="P126" s="13"/>
      <c r="Q126" s="13">
        <f t="shared" si="9"/>
        <v>150352</v>
      </c>
      <c r="R126" s="113"/>
      <c r="S126" s="23">
        <f t="shared" si="10"/>
        <v>0</v>
      </c>
    </row>
    <row r="127" spans="2:19" s="115" customFormat="1">
      <c r="B127" s="299">
        <v>84</v>
      </c>
      <c r="C127" s="132" t="s">
        <v>226</v>
      </c>
      <c r="D127" s="128">
        <f t="shared" ref="D127:D129" si="11">+Q127</f>
        <v>103774</v>
      </c>
      <c r="E127" s="279">
        <v>11260</v>
      </c>
      <c r="F127" s="279">
        <v>12730</v>
      </c>
      <c r="G127" s="279">
        <v>10000</v>
      </c>
      <c r="H127" s="279">
        <v>11904</v>
      </c>
      <c r="I127" s="279">
        <v>11698</v>
      </c>
      <c r="J127" s="281">
        <v>11140</v>
      </c>
      <c r="K127" s="311">
        <v>12089</v>
      </c>
      <c r="L127" s="288">
        <v>11418</v>
      </c>
      <c r="M127" s="13">
        <v>11535</v>
      </c>
      <c r="N127" s="13"/>
      <c r="O127" s="13"/>
      <c r="P127" s="13"/>
      <c r="Q127" s="13">
        <f t="shared" ref="Q127:Q129" si="12">SUM(E127:P127)</f>
        <v>103774</v>
      </c>
      <c r="R127" s="113"/>
      <c r="S127" s="23"/>
    </row>
    <row r="128" spans="2:19" s="115" customFormat="1">
      <c r="B128" s="299">
        <v>85</v>
      </c>
      <c r="C128" s="132" t="s">
        <v>234</v>
      </c>
      <c r="D128" s="128">
        <f t="shared" si="11"/>
        <v>190442</v>
      </c>
      <c r="E128" s="279">
        <v>17288</v>
      </c>
      <c r="F128" s="279">
        <v>12865</v>
      </c>
      <c r="G128" s="279">
        <v>14220</v>
      </c>
      <c r="H128" s="279">
        <v>16619</v>
      </c>
      <c r="I128" s="279">
        <v>20137</v>
      </c>
      <c r="J128" s="281">
        <v>21871</v>
      </c>
      <c r="K128" s="311">
        <v>27252</v>
      </c>
      <c r="L128" s="288">
        <v>29675</v>
      </c>
      <c r="M128" s="13">
        <v>30515</v>
      </c>
      <c r="N128" s="13"/>
      <c r="O128" s="13"/>
      <c r="P128" s="13"/>
      <c r="Q128" s="13">
        <f t="shared" ref="Q128" si="13">SUM(E128:P128)</f>
        <v>190442</v>
      </c>
      <c r="R128" s="113"/>
      <c r="S128" s="23"/>
    </row>
    <row r="129" spans="2:19" s="115" customFormat="1">
      <c r="B129" s="299">
        <v>86</v>
      </c>
      <c r="C129" s="132" t="s">
        <v>233</v>
      </c>
      <c r="D129" s="128">
        <f t="shared" si="11"/>
        <v>61585</v>
      </c>
      <c r="E129" s="279">
        <v>8916</v>
      </c>
      <c r="F129" s="279">
        <v>6148</v>
      </c>
      <c r="G129" s="279">
        <v>5985</v>
      </c>
      <c r="H129" s="279">
        <v>6613</v>
      </c>
      <c r="I129" s="279">
        <v>7571</v>
      </c>
      <c r="J129" s="281">
        <v>7210</v>
      </c>
      <c r="K129" s="311">
        <v>7195</v>
      </c>
      <c r="L129" s="288">
        <v>6802</v>
      </c>
      <c r="M129" s="13">
        <v>5145</v>
      </c>
      <c r="N129" s="13"/>
      <c r="O129" s="13"/>
      <c r="P129" s="13"/>
      <c r="Q129" s="13">
        <f t="shared" si="12"/>
        <v>61585</v>
      </c>
      <c r="R129" s="113"/>
      <c r="S129" s="23"/>
    </row>
    <row r="130" spans="2:19" s="115" customFormat="1" ht="16.5" customHeight="1">
      <c r="B130" s="299">
        <v>87</v>
      </c>
      <c r="C130" s="132" t="s">
        <v>235</v>
      </c>
      <c r="D130" s="128">
        <f t="shared" si="5"/>
        <v>66422</v>
      </c>
      <c r="E130" s="279">
        <v>298</v>
      </c>
      <c r="F130" s="279">
        <v>5883</v>
      </c>
      <c r="G130" s="279">
        <v>5712</v>
      </c>
      <c r="H130" s="279">
        <v>8018</v>
      </c>
      <c r="I130" s="279">
        <v>8320</v>
      </c>
      <c r="J130" s="281">
        <v>8795</v>
      </c>
      <c r="K130" s="311">
        <v>9928</v>
      </c>
      <c r="L130" s="288">
        <v>9929</v>
      </c>
      <c r="M130" s="13">
        <v>9539</v>
      </c>
      <c r="N130" s="13"/>
      <c r="O130" s="13"/>
      <c r="P130" s="13"/>
      <c r="Q130" s="13">
        <f t="shared" si="9"/>
        <v>66422</v>
      </c>
      <c r="R130" s="113"/>
      <c r="S130" s="23">
        <f t="shared" si="10"/>
        <v>0</v>
      </c>
    </row>
    <row r="131" spans="2:19" s="115" customFormat="1">
      <c r="B131" s="299">
        <v>88</v>
      </c>
      <c r="C131" s="132" t="s">
        <v>236</v>
      </c>
      <c r="D131" s="128">
        <f t="shared" ref="D131:D144" si="14">+Q131</f>
        <v>118939</v>
      </c>
      <c r="E131" s="279"/>
      <c r="F131" s="279"/>
      <c r="G131" s="279"/>
      <c r="H131" s="279">
        <v>5815</v>
      </c>
      <c r="I131" s="279">
        <v>24523</v>
      </c>
      <c r="J131" s="281">
        <v>23359</v>
      </c>
      <c r="K131" s="311">
        <v>28219</v>
      </c>
      <c r="L131" s="288">
        <v>21103</v>
      </c>
      <c r="M131" s="13">
        <v>15920</v>
      </c>
      <c r="N131" s="13"/>
      <c r="O131" s="13"/>
      <c r="P131" s="13"/>
      <c r="Q131" s="13">
        <f t="shared" si="9"/>
        <v>118939</v>
      </c>
      <c r="R131" s="113"/>
      <c r="S131" s="23"/>
    </row>
    <row r="132" spans="2:19" s="115" customFormat="1">
      <c r="B132" s="299">
        <v>89</v>
      </c>
      <c r="C132" s="132" t="s">
        <v>238</v>
      </c>
      <c r="D132" s="128">
        <f t="shared" si="14"/>
        <v>100479</v>
      </c>
      <c r="E132" s="279"/>
      <c r="F132" s="279"/>
      <c r="G132" s="279"/>
      <c r="H132" s="279">
        <v>5148</v>
      </c>
      <c r="I132" s="279">
        <v>19167</v>
      </c>
      <c r="J132" s="281">
        <v>20073</v>
      </c>
      <c r="K132" s="311">
        <v>23088</v>
      </c>
      <c r="L132" s="288">
        <v>17546</v>
      </c>
      <c r="M132" s="13">
        <v>15457</v>
      </c>
      <c r="N132" s="13"/>
      <c r="O132" s="13"/>
      <c r="P132" s="13"/>
      <c r="Q132" s="13">
        <f t="shared" si="9"/>
        <v>100479</v>
      </c>
      <c r="R132" s="113"/>
      <c r="S132" s="23"/>
    </row>
    <row r="133" spans="2:19" s="115" customFormat="1">
      <c r="B133" s="299">
        <v>90</v>
      </c>
      <c r="C133" s="132" t="s">
        <v>237</v>
      </c>
      <c r="D133" s="128">
        <f t="shared" si="14"/>
        <v>120572</v>
      </c>
      <c r="E133" s="279"/>
      <c r="F133" s="279"/>
      <c r="G133" s="279"/>
      <c r="H133" s="279">
        <v>3020</v>
      </c>
      <c r="I133" s="279">
        <v>15344</v>
      </c>
      <c r="J133" s="281">
        <v>22948</v>
      </c>
      <c r="K133" s="311">
        <v>28292</v>
      </c>
      <c r="L133" s="288">
        <v>26292</v>
      </c>
      <c r="M133" s="13">
        <v>24676</v>
      </c>
      <c r="N133" s="13"/>
      <c r="O133" s="13"/>
      <c r="P133" s="13"/>
      <c r="Q133" s="13">
        <f t="shared" ref="Q133:Q146" si="15">SUM(E133:P133)</f>
        <v>120572</v>
      </c>
      <c r="R133" s="113"/>
      <c r="S133" s="23"/>
    </row>
    <row r="134" spans="2:19" s="115" customFormat="1">
      <c r="B134" s="299">
        <v>91</v>
      </c>
      <c r="C134" s="132" t="s">
        <v>239</v>
      </c>
      <c r="D134" s="128">
        <f t="shared" si="14"/>
        <v>107499</v>
      </c>
      <c r="E134" s="298"/>
      <c r="F134" s="177"/>
      <c r="G134" s="177"/>
      <c r="H134" s="177"/>
      <c r="I134" s="177"/>
      <c r="J134" s="281">
        <v>16832</v>
      </c>
      <c r="K134" s="176">
        <v>32410</v>
      </c>
      <c r="L134" s="176">
        <v>31236</v>
      </c>
      <c r="M134" s="176">
        <v>27021</v>
      </c>
      <c r="N134" s="177"/>
      <c r="O134" s="177"/>
      <c r="P134" s="177"/>
      <c r="Q134" s="13">
        <f t="shared" si="15"/>
        <v>107499</v>
      </c>
      <c r="R134" s="113"/>
      <c r="S134" s="282"/>
    </row>
    <row r="135" spans="2:19" s="115" customFormat="1">
      <c r="B135" s="299">
        <v>92</v>
      </c>
      <c r="C135" s="132" t="s">
        <v>240</v>
      </c>
      <c r="D135" s="128">
        <f t="shared" si="14"/>
        <v>168865</v>
      </c>
      <c r="E135" s="297"/>
      <c r="F135" s="177"/>
      <c r="G135" s="177"/>
      <c r="H135" s="177"/>
      <c r="I135" s="177"/>
      <c r="J135" s="281"/>
      <c r="K135" s="176">
        <v>69550</v>
      </c>
      <c r="L135" s="176">
        <v>53990</v>
      </c>
      <c r="M135" s="176">
        <v>45325</v>
      </c>
      <c r="N135" s="177"/>
      <c r="O135" s="177"/>
      <c r="P135" s="177"/>
      <c r="Q135" s="13">
        <f t="shared" si="15"/>
        <v>168865</v>
      </c>
      <c r="R135" s="113"/>
      <c r="S135" s="282"/>
    </row>
    <row r="136" spans="2:19" s="115" customFormat="1">
      <c r="B136" s="299">
        <v>93</v>
      </c>
      <c r="C136" s="132" t="s">
        <v>241</v>
      </c>
      <c r="D136" s="128">
        <f t="shared" si="14"/>
        <v>110584</v>
      </c>
      <c r="E136" s="298"/>
      <c r="F136" s="177"/>
      <c r="G136" s="177"/>
      <c r="H136" s="177"/>
      <c r="I136" s="177"/>
      <c r="J136" s="281"/>
      <c r="K136" s="176">
        <v>43870</v>
      </c>
      <c r="L136" s="176">
        <v>38130</v>
      </c>
      <c r="M136" s="176">
        <v>28584</v>
      </c>
      <c r="N136" s="177"/>
      <c r="O136" s="177"/>
      <c r="P136" s="177"/>
      <c r="Q136" s="13">
        <f t="shared" si="15"/>
        <v>110584</v>
      </c>
      <c r="R136" s="113"/>
      <c r="S136" s="282"/>
    </row>
    <row r="137" spans="2:19" s="115" customFormat="1">
      <c r="B137" s="299">
        <v>94</v>
      </c>
      <c r="C137" s="132" t="s">
        <v>242</v>
      </c>
      <c r="D137" s="128">
        <f t="shared" si="14"/>
        <v>49938</v>
      </c>
      <c r="E137" s="297"/>
      <c r="F137" s="177"/>
      <c r="G137" s="177"/>
      <c r="H137" s="177"/>
      <c r="I137" s="177"/>
      <c r="J137" s="281"/>
      <c r="K137" s="176">
        <v>16371</v>
      </c>
      <c r="L137" s="176">
        <v>16810</v>
      </c>
      <c r="M137" s="176">
        <v>16757</v>
      </c>
      <c r="N137" s="177"/>
      <c r="O137" s="177"/>
      <c r="P137" s="177"/>
      <c r="Q137" s="13">
        <f t="shared" si="15"/>
        <v>49938</v>
      </c>
      <c r="R137" s="113"/>
      <c r="S137" s="282"/>
    </row>
    <row r="138" spans="2:19" s="115" customFormat="1">
      <c r="B138" s="299">
        <v>95</v>
      </c>
      <c r="C138" s="132" t="s">
        <v>243</v>
      </c>
      <c r="D138" s="128">
        <f t="shared" si="14"/>
        <v>58664</v>
      </c>
      <c r="F138" s="177"/>
      <c r="G138" s="177"/>
      <c r="H138" s="177"/>
      <c r="I138" s="177"/>
      <c r="J138" s="281"/>
      <c r="K138" s="176">
        <v>17107</v>
      </c>
      <c r="L138" s="176">
        <v>21938</v>
      </c>
      <c r="M138" s="176">
        <v>19619</v>
      </c>
      <c r="N138" s="177"/>
      <c r="O138" s="177"/>
      <c r="P138" s="177"/>
      <c r="Q138" s="13">
        <f t="shared" si="15"/>
        <v>58664</v>
      </c>
      <c r="R138" s="113"/>
      <c r="S138" s="282"/>
    </row>
    <row r="139" spans="2:19" s="115" customFormat="1">
      <c r="B139" s="299">
        <v>96</v>
      </c>
      <c r="C139" s="132" t="s">
        <v>244</v>
      </c>
      <c r="D139" s="128">
        <f t="shared" si="14"/>
        <v>31730</v>
      </c>
      <c r="F139" s="177"/>
      <c r="G139" s="177"/>
      <c r="H139" s="177"/>
      <c r="I139" s="177"/>
      <c r="J139" s="281"/>
      <c r="K139" s="176">
        <v>8672</v>
      </c>
      <c r="L139" s="176">
        <v>11037</v>
      </c>
      <c r="M139" s="176">
        <v>12021</v>
      </c>
      <c r="N139" s="177"/>
      <c r="O139" s="177"/>
      <c r="P139" s="177"/>
      <c r="Q139" s="13">
        <f t="shared" si="15"/>
        <v>31730</v>
      </c>
      <c r="R139" s="113"/>
      <c r="S139" s="282"/>
    </row>
    <row r="140" spans="2:19" s="115" customFormat="1">
      <c r="B140" s="299"/>
      <c r="C140" s="132" t="s">
        <v>303</v>
      </c>
      <c r="D140" s="128">
        <f t="shared" si="14"/>
        <v>8105</v>
      </c>
      <c r="E140" s="279"/>
      <c r="F140" s="279"/>
      <c r="G140" s="279"/>
      <c r="H140" s="279"/>
      <c r="I140" s="279"/>
      <c r="J140" s="281"/>
      <c r="K140" s="176"/>
      <c r="L140" s="288"/>
      <c r="M140" s="14">
        <v>8105</v>
      </c>
      <c r="N140" s="429"/>
      <c r="O140" s="429"/>
      <c r="P140" s="429"/>
      <c r="Q140" s="13">
        <f t="shared" si="15"/>
        <v>8105</v>
      </c>
      <c r="R140" s="113"/>
      <c r="S140" s="282"/>
    </row>
    <row r="141" spans="2:19" s="115" customFormat="1">
      <c r="B141" s="299"/>
      <c r="C141" s="132" t="s">
        <v>304</v>
      </c>
      <c r="D141" s="128">
        <f t="shared" si="14"/>
        <v>5456</v>
      </c>
      <c r="E141" s="430"/>
      <c r="F141" s="279"/>
      <c r="G141" s="279"/>
      <c r="H141" s="279"/>
      <c r="I141" s="279"/>
      <c r="J141" s="281"/>
      <c r="K141" s="176"/>
      <c r="L141" s="288"/>
      <c r="M141" s="14">
        <v>5456</v>
      </c>
      <c r="N141" s="429"/>
      <c r="O141" s="429"/>
      <c r="P141" s="429"/>
      <c r="Q141" s="13">
        <f t="shared" si="15"/>
        <v>5456</v>
      </c>
      <c r="R141" s="113"/>
      <c r="S141" s="282"/>
    </row>
    <row r="142" spans="2:19" s="115" customFormat="1">
      <c r="B142" s="299"/>
      <c r="C142" s="132" t="s">
        <v>305</v>
      </c>
      <c r="D142" s="128">
        <f t="shared" si="14"/>
        <v>7452</v>
      </c>
      <c r="E142" s="430"/>
      <c r="F142" s="279"/>
      <c r="G142" s="279"/>
      <c r="H142" s="279"/>
      <c r="I142" s="279"/>
      <c r="J142" s="281"/>
      <c r="K142" s="176"/>
      <c r="L142" s="288"/>
      <c r="M142" s="14">
        <v>7452</v>
      </c>
      <c r="N142" s="429"/>
      <c r="O142" s="429"/>
      <c r="P142" s="429"/>
      <c r="Q142" s="13">
        <f t="shared" si="15"/>
        <v>7452</v>
      </c>
      <c r="R142" s="113"/>
      <c r="S142" s="282"/>
    </row>
    <row r="143" spans="2:19" s="115" customFormat="1">
      <c r="B143" s="299"/>
      <c r="C143" s="132" t="s">
        <v>306</v>
      </c>
      <c r="D143" s="128">
        <f t="shared" si="14"/>
        <v>2740</v>
      </c>
      <c r="E143" s="430"/>
      <c r="F143" s="279"/>
      <c r="G143" s="279"/>
      <c r="H143" s="279"/>
      <c r="I143" s="279"/>
      <c r="J143" s="281"/>
      <c r="K143" s="176"/>
      <c r="L143" s="288"/>
      <c r="M143" s="14">
        <v>2740</v>
      </c>
      <c r="N143" s="429"/>
      <c r="O143" s="429"/>
      <c r="P143" s="429"/>
      <c r="Q143" s="13">
        <f t="shared" si="15"/>
        <v>2740</v>
      </c>
      <c r="R143" s="113"/>
      <c r="S143" s="282"/>
    </row>
    <row r="144" spans="2:19" s="115" customFormat="1">
      <c r="B144" s="299"/>
      <c r="C144" s="132"/>
      <c r="D144" s="128">
        <f t="shared" si="14"/>
        <v>0</v>
      </c>
      <c r="F144" s="177"/>
      <c r="G144" s="177"/>
      <c r="H144" s="177"/>
      <c r="I144" s="177"/>
      <c r="J144" s="281"/>
      <c r="K144" s="176"/>
      <c r="L144" s="428"/>
      <c r="M144" s="428"/>
      <c r="N144" s="429"/>
      <c r="O144" s="429"/>
      <c r="P144" s="429"/>
      <c r="Q144" s="13">
        <f t="shared" si="15"/>
        <v>0</v>
      </c>
      <c r="R144" s="113"/>
      <c r="S144" s="282"/>
    </row>
    <row r="145" spans="2:24" s="115" customFormat="1">
      <c r="B145"/>
      <c r="N145" s="14"/>
      <c r="O145" s="14"/>
      <c r="P145" s="14"/>
      <c r="Q145" s="13">
        <f t="shared" si="15"/>
        <v>0</v>
      </c>
      <c r="R145" s="113"/>
      <c r="S145" s="282"/>
    </row>
    <row r="146" spans="2:24" s="115" customFormat="1" ht="30">
      <c r="C146" s="129" t="s">
        <v>46</v>
      </c>
      <c r="D146" s="130">
        <f>SUM(D44:D144)</f>
        <v>25042730</v>
      </c>
      <c r="E146" s="279"/>
      <c r="F146" s="279"/>
      <c r="G146" s="279"/>
      <c r="H146" s="279"/>
      <c r="I146" s="279"/>
      <c r="J146" s="288"/>
      <c r="K146" s="176"/>
      <c r="L146" s="279"/>
      <c r="M146" s="288"/>
      <c r="N146" s="288"/>
      <c r="O146" s="288"/>
      <c r="P146" s="288"/>
      <c r="Q146" s="13">
        <f t="shared" si="15"/>
        <v>0</v>
      </c>
      <c r="R146" s="113"/>
    </row>
    <row r="147" spans="2:24" ht="15.75" thickBot="1">
      <c r="C147" s="135" t="s">
        <v>47</v>
      </c>
      <c r="D147" s="136">
        <f>+D146+D5</f>
        <v>26457787</v>
      </c>
      <c r="E147" s="324">
        <f t="shared" ref="E147:P147" si="16">SUM(E44:E146)</f>
        <v>2097150</v>
      </c>
      <c r="F147" s="324">
        <f t="shared" si="16"/>
        <v>2494850</v>
      </c>
      <c r="G147" s="324">
        <f t="shared" si="16"/>
        <v>2510954</v>
      </c>
      <c r="H147" s="324">
        <f t="shared" si="16"/>
        <v>2681912</v>
      </c>
      <c r="I147" s="324">
        <f t="shared" si="16"/>
        <v>2952382</v>
      </c>
      <c r="J147" s="328">
        <f t="shared" si="16"/>
        <v>2816699</v>
      </c>
      <c r="K147" s="329">
        <f t="shared" si="16"/>
        <v>3354219</v>
      </c>
      <c r="L147" s="328">
        <f t="shared" si="16"/>
        <v>3051288</v>
      </c>
      <c r="M147" s="328">
        <f t="shared" si="16"/>
        <v>3083276</v>
      </c>
      <c r="N147" s="328">
        <f t="shared" si="16"/>
        <v>0</v>
      </c>
      <c r="O147" s="328">
        <f t="shared" si="16"/>
        <v>0</v>
      </c>
      <c r="P147" s="328">
        <f t="shared" si="16"/>
        <v>0</v>
      </c>
      <c r="Q147" s="324">
        <f>SUM(E147:P147)</f>
        <v>25042730</v>
      </c>
      <c r="R147" s="27">
        <f>+'[2]BENEFICIARIO PR.TRIMESTRE'!$N$90</f>
        <v>2758099</v>
      </c>
      <c r="S147" s="23">
        <f>SUM(S5:S146)</f>
        <v>0</v>
      </c>
    </row>
    <row r="148" spans="2:24">
      <c r="C148" s="138"/>
      <c r="D148" s="139">
        <f>SUM(D44:D125)</f>
        <v>23579132</v>
      </c>
      <c r="E148" s="330"/>
      <c r="F148" s="330"/>
      <c r="G148" s="330"/>
      <c r="H148" s="330"/>
      <c r="I148" s="330"/>
      <c r="J148" s="330"/>
      <c r="K148" s="330"/>
      <c r="L148" s="330"/>
      <c r="M148" s="330"/>
      <c r="N148" s="330"/>
      <c r="O148" s="330"/>
      <c r="P148" s="330"/>
      <c r="Q148" s="330"/>
      <c r="T148" s="23"/>
    </row>
    <row r="149" spans="2:24" ht="15.75" thickBot="1">
      <c r="C149" s="331"/>
      <c r="D149" s="332"/>
      <c r="E149" s="333">
        <f>E5+E147</f>
        <v>2303789</v>
      </c>
      <c r="F149" s="333">
        <f>F5+F147</f>
        <v>2716766</v>
      </c>
      <c r="G149" s="333">
        <f>G5+G147</f>
        <v>2763792</v>
      </c>
      <c r="H149" s="333">
        <f>H147+H23</f>
        <v>2935460</v>
      </c>
      <c r="I149" s="334">
        <f>I5+I147</f>
        <v>3230677</v>
      </c>
      <c r="J149" s="334">
        <f>J147+J23</f>
        <v>3018520</v>
      </c>
      <c r="K149" s="335">
        <f>K147+K23</f>
        <v>3553922</v>
      </c>
      <c r="L149" s="335">
        <f>+L147+L23+L42</f>
        <v>3428221</v>
      </c>
      <c r="M149" s="336">
        <f>+M23+M147</f>
        <v>3313403</v>
      </c>
      <c r="N149" s="336">
        <f>N147+N23</f>
        <v>0</v>
      </c>
      <c r="O149" s="336">
        <f>+O147+O23</f>
        <v>0</v>
      </c>
      <c r="P149" s="336">
        <f>+P147+P23</f>
        <v>0</v>
      </c>
      <c r="Q149" s="32">
        <f>SUM(E149:P149)</f>
        <v>27264550</v>
      </c>
    </row>
    <row r="150" spans="2:24" ht="21" customHeight="1">
      <c r="C150" s="337"/>
      <c r="D150" s="338"/>
      <c r="E150" s="339">
        <v>75.06</v>
      </c>
      <c r="F150" s="339">
        <v>72.84</v>
      </c>
      <c r="G150" s="339">
        <v>74.400000000000006</v>
      </c>
      <c r="H150" s="339">
        <v>84.15</v>
      </c>
      <c r="I150" s="339">
        <f>+I154/I147</f>
        <v>75.72</v>
      </c>
      <c r="J150" s="338">
        <v>75.709999999999994</v>
      </c>
      <c r="K150" s="339">
        <v>69.72</v>
      </c>
      <c r="L150" s="339">
        <v>69.72</v>
      </c>
      <c r="M150" s="339">
        <v>68.14</v>
      </c>
      <c r="N150" s="339"/>
      <c r="O150" s="339"/>
      <c r="P150" s="339"/>
      <c r="Q150" s="340"/>
      <c r="R150" s="27">
        <f>+E150+F150+G150+H150+I150+J150+L150+M150</f>
        <v>595.74</v>
      </c>
      <c r="S150" s="225"/>
      <c r="U150" s="145"/>
      <c r="V150" s="146"/>
      <c r="W150" s="147"/>
    </row>
    <row r="151" spans="2:24" ht="15.75">
      <c r="C151" s="337"/>
      <c r="D151" s="332"/>
      <c r="E151" s="341">
        <f>E150*E147</f>
        <v>157412079</v>
      </c>
      <c r="F151" s="342">
        <f>F147*F150</f>
        <v>181724874</v>
      </c>
      <c r="G151" s="342">
        <f>G147*G150</f>
        <v>186814977.60000002</v>
      </c>
      <c r="H151" s="343">
        <f>+H147*84.15</f>
        <v>225682894.80000001</v>
      </c>
      <c r="I151" s="343">
        <f>I147*75.72</f>
        <v>223554365.03999999</v>
      </c>
      <c r="J151" s="344">
        <f>J147*J150</f>
        <v>213252281.28999999</v>
      </c>
      <c r="K151" s="343">
        <f>+K147*K150</f>
        <v>233856148.68000001</v>
      </c>
      <c r="L151" s="344">
        <f>+L147*L150</f>
        <v>212735799.35999998</v>
      </c>
      <c r="M151" s="344">
        <f>+M147*M150</f>
        <v>210094426.64000002</v>
      </c>
      <c r="N151" s="344">
        <f>+N147*N150</f>
        <v>0</v>
      </c>
      <c r="O151" s="344">
        <f>+O147*79.2</f>
        <v>0</v>
      </c>
      <c r="P151" s="344">
        <f>+P147*55.78</f>
        <v>0</v>
      </c>
      <c r="Q151" s="336">
        <f>SUM(E151:P151)</f>
        <v>1845127846.4100001</v>
      </c>
      <c r="R151" s="27">
        <f>571.13/9</f>
        <v>63.458888888888886</v>
      </c>
      <c r="S151" s="23"/>
      <c r="T151" s="23">
        <f>+P156+O156+N156</f>
        <v>0</v>
      </c>
      <c r="U151" s="152"/>
      <c r="V151" s="153"/>
      <c r="W151" s="154"/>
    </row>
    <row r="152" spans="2:24">
      <c r="S152" s="224"/>
      <c r="U152" s="155"/>
      <c r="V152" s="156"/>
      <c r="W152" s="154"/>
    </row>
    <row r="153" spans="2:24" ht="15.75" thickBot="1">
      <c r="D153" s="222" t="s">
        <v>227</v>
      </c>
      <c r="E153" s="27">
        <f>131537*75.06+75102*58.19072728</f>
        <v>14243407.22018256</v>
      </c>
      <c r="F153" s="27">
        <f>151929*72.84+69987*57.76515639</f>
        <v>15109318.360266931</v>
      </c>
      <c r="G153" s="27">
        <f>175612*74.4+77226*58.23615104</f>
        <v>17562877.800215043</v>
      </c>
      <c r="H153" s="27">
        <f>179480*84.15+74068*58.20158503</f>
        <v>19414117.000002041</v>
      </c>
      <c r="I153" s="27">
        <f>79310*58.22601185+198985*75.72</f>
        <v>19685049.199823499</v>
      </c>
      <c r="J153" s="27">
        <f>130137*75.71+71684*58.03240612</f>
        <v>14012667.270306079</v>
      </c>
      <c r="K153" s="27">
        <f>126294*69.72+73409*58.00753314</f>
        <v>13063492.680274259</v>
      </c>
      <c r="L153" s="27">
        <f>209399*69.72+73119*58.08654385</f>
        <v>18846528.27976815</v>
      </c>
      <c r="M153" s="27">
        <f>158802*68.14+71325*60.43988784</f>
        <v>15131643.280187998</v>
      </c>
      <c r="N153" s="27"/>
      <c r="O153" s="27"/>
      <c r="P153" s="27"/>
      <c r="Q153" s="23">
        <f>SUM(E153:O153)</f>
        <v>147069101.09102657</v>
      </c>
      <c r="R153" s="27">
        <f>+O153+N153+M153+L153+K153+J153+I153+G153+F153+H153+E153</f>
        <v>147069101.09102654</v>
      </c>
      <c r="S153" s="208"/>
      <c r="U153" s="157"/>
      <c r="V153" s="158"/>
      <c r="W153" s="159"/>
    </row>
    <row r="154" spans="2:24">
      <c r="D154" t="s">
        <v>228</v>
      </c>
      <c r="E154" s="27">
        <f>2097150*75.06</f>
        <v>157412079</v>
      </c>
      <c r="F154" s="27">
        <f>2494850*72.84</f>
        <v>181724874</v>
      </c>
      <c r="G154" s="27">
        <f>+G147*74.4</f>
        <v>186814977.60000002</v>
      </c>
      <c r="H154" s="27">
        <f>+H151</f>
        <v>225682894.80000001</v>
      </c>
      <c r="I154" s="27">
        <f>+I151</f>
        <v>223554365.03999999</v>
      </c>
      <c r="J154" s="24">
        <f>+J151</f>
        <v>213252281.28999999</v>
      </c>
      <c r="K154" s="24">
        <f>+K151</f>
        <v>233856148.68000001</v>
      </c>
      <c r="L154" s="24">
        <f>+L151</f>
        <v>212735799.35999998</v>
      </c>
      <c r="M154" s="27">
        <f>+M151</f>
        <v>210094426.64000002</v>
      </c>
      <c r="N154" s="27"/>
      <c r="O154" s="27"/>
      <c r="P154" s="27"/>
      <c r="Q154" s="27">
        <f>SUM(E154:P154)</f>
        <v>1845127846.4100001</v>
      </c>
      <c r="R154" s="27">
        <f>+O154+N154+M154+L154+K154+J154+I154+H154+G154+F154+E154</f>
        <v>1845127846.4099998</v>
      </c>
      <c r="S154" s="27"/>
      <c r="T154" s="23"/>
    </row>
    <row r="155" spans="2:24">
      <c r="D155" t="s">
        <v>282</v>
      </c>
      <c r="E155" s="27"/>
      <c r="F155" s="27"/>
      <c r="G155" s="27"/>
      <c r="H155" s="27"/>
      <c r="I155" s="27"/>
      <c r="J155" s="24"/>
      <c r="K155" s="24"/>
      <c r="L155" s="24">
        <f>+L42*69.72</f>
        <v>6582613.7999999998</v>
      </c>
      <c r="M155" s="27">
        <f>+M42*68.14</f>
        <v>7365252.5999999996</v>
      </c>
      <c r="N155" s="27"/>
      <c r="O155" s="27"/>
      <c r="P155" s="27"/>
      <c r="Q155" s="27">
        <f>SUM(L155:P155)</f>
        <v>13947866.399999999</v>
      </c>
      <c r="S155" s="27"/>
      <c r="T155" s="23"/>
    </row>
    <row r="156" spans="2:24" ht="15.75">
      <c r="D156" s="218" t="s">
        <v>58</v>
      </c>
      <c r="E156" s="162">
        <f t="shared" ref="E156:M156" si="17">SUM(E153:E154)</f>
        <v>171655486.22018257</v>
      </c>
      <c r="F156" s="163">
        <f t="shared" si="17"/>
        <v>196834192.36026692</v>
      </c>
      <c r="G156" s="163">
        <f t="shared" si="17"/>
        <v>204377855.40021506</v>
      </c>
      <c r="H156" s="162">
        <f>SUM(H153:H154)</f>
        <v>245097011.80000204</v>
      </c>
      <c r="I156" s="162">
        <f>SUM(I153:I154)</f>
        <v>243239414.23982349</v>
      </c>
      <c r="J156" s="162">
        <f>SUM(J153:J154)</f>
        <v>227264948.56030607</v>
      </c>
      <c r="K156" s="162">
        <f t="shared" si="17"/>
        <v>246919641.36027426</v>
      </c>
      <c r="L156" s="162">
        <f>SUM(L153:L155)</f>
        <v>238164941.43976814</v>
      </c>
      <c r="M156" s="162">
        <f>SUM(M153:M155)</f>
        <v>232591322.520188</v>
      </c>
      <c r="N156" s="162">
        <f t="shared" ref="N156" si="18">SUM(N153:N154)</f>
        <v>0</v>
      </c>
      <c r="O156" s="162">
        <f>SUM(O153:O154)</f>
        <v>0</v>
      </c>
      <c r="P156" s="162">
        <f>SUM(P153:P154)</f>
        <v>0</v>
      </c>
      <c r="Q156" s="162">
        <f>SUM(E156:P156)</f>
        <v>2006144813.9010267</v>
      </c>
      <c r="R156" s="27">
        <f>SUM(R153:R154)</f>
        <v>1992196947.5010264</v>
      </c>
      <c r="S156" s="221"/>
      <c r="T156" s="85"/>
      <c r="U156" s="24">
        <v>125409</v>
      </c>
    </row>
    <row r="157" spans="2:24">
      <c r="I157" s="164"/>
      <c r="J157" s="27"/>
      <c r="K157" s="24"/>
      <c r="M157" s="23">
        <f>+'[1]RELACION COCIDA 2022'!$N$73</f>
        <v>0</v>
      </c>
      <c r="S157" s="23"/>
      <c r="U157">
        <v>227794</v>
      </c>
    </row>
    <row r="158" spans="2:24" ht="28.5" customHeight="1">
      <c r="E158" s="296">
        <f>+F158+G158</f>
        <v>16969004</v>
      </c>
      <c r="F158" s="296">
        <f>+E147+F147+G147+H147+I147+J147</f>
        <v>15553947</v>
      </c>
      <c r="G158" s="296">
        <f>+E23+F23+G23+H23+I23+J23</f>
        <v>1415057</v>
      </c>
      <c r="H158" s="42">
        <f>17288-16788</f>
        <v>500</v>
      </c>
      <c r="I158" s="56"/>
      <c r="J158" s="206"/>
      <c r="K158" s="293">
        <f>157374549/75.06</f>
        <v>2096650</v>
      </c>
      <c r="L158" s="206"/>
      <c r="M158" s="206"/>
      <c r="N158" s="206"/>
      <c r="O158" s="206"/>
      <c r="P158" s="206"/>
      <c r="Q158" s="54"/>
      <c r="S158" s="226"/>
      <c r="U158" s="292">
        <f>SUM(U156:U157)</f>
        <v>353203</v>
      </c>
      <c r="X158" s="24"/>
    </row>
    <row r="159" spans="2:24" ht="36.75" thickBot="1">
      <c r="E159" s="42"/>
      <c r="F159" s="42">
        <f>69987*59.03789275</f>
        <v>4131884.9998942497</v>
      </c>
      <c r="G159" s="287" t="s">
        <v>223</v>
      </c>
      <c r="H159" s="42">
        <v>2096650</v>
      </c>
      <c r="I159" s="56"/>
      <c r="J159" s="215"/>
      <c r="K159" s="294">
        <f>157412079/75.06</f>
        <v>2097150</v>
      </c>
      <c r="L159" s="207"/>
      <c r="M159" s="215"/>
      <c r="N159" s="215"/>
      <c r="O159" s="215"/>
      <c r="P159" s="215"/>
      <c r="Q159" s="42"/>
      <c r="X159" s="24"/>
    </row>
    <row r="160" spans="2:24" ht="15.75">
      <c r="C160" s="209"/>
      <c r="D160" s="210"/>
      <c r="E160" s="216"/>
      <c r="F160" s="42"/>
      <c r="G160" s="286">
        <f>+D147</f>
        <v>26457787</v>
      </c>
      <c r="H160" s="42">
        <f>SUM(H158:H159)</f>
        <v>2097150</v>
      </c>
      <c r="I160" s="56"/>
      <c r="J160" s="215"/>
      <c r="K160" s="219">
        <f>157412079/75.06</f>
        <v>2097150</v>
      </c>
      <c r="L160" s="215"/>
      <c r="M160" s="306"/>
      <c r="N160" s="205"/>
      <c r="O160" s="205"/>
      <c r="P160" s="205"/>
      <c r="Q160" s="48"/>
      <c r="S160" s="161"/>
      <c r="X160" s="24"/>
    </row>
    <row r="161" spans="3:19">
      <c r="C161" s="211">
        <v>2020</v>
      </c>
      <c r="D161" s="212">
        <f>2754727+804004</f>
        <v>3558731</v>
      </c>
      <c r="E161" s="42"/>
      <c r="F161" s="42"/>
      <c r="G161" s="42"/>
      <c r="H161" s="42"/>
      <c r="I161" s="56"/>
      <c r="J161" s="215"/>
      <c r="K161" s="215"/>
      <c r="L161" s="215"/>
      <c r="M161" s="215"/>
      <c r="N161" s="165"/>
      <c r="O161" s="165"/>
      <c r="P161" s="165"/>
      <c r="Q161" s="42"/>
      <c r="R161" s="23"/>
      <c r="S161" s="23"/>
    </row>
    <row r="162" spans="3:19">
      <c r="C162" s="211">
        <v>2021</v>
      </c>
      <c r="D162" s="212">
        <f>13673247+2036635</f>
        <v>15709882</v>
      </c>
      <c r="E162" s="42"/>
      <c r="F162" s="42"/>
      <c r="G162" s="42"/>
      <c r="H162" s="42"/>
      <c r="I162" s="56"/>
      <c r="J162" s="215"/>
      <c r="K162" s="215"/>
      <c r="L162" s="304"/>
      <c r="M162" s="215"/>
      <c r="N162" s="207"/>
      <c r="O162" s="207"/>
      <c r="P162" s="207"/>
      <c r="Q162" s="42"/>
    </row>
    <row r="163" spans="3:19">
      <c r="C163" s="211">
        <v>2022</v>
      </c>
      <c r="D163" s="212">
        <f>31620972+3655160</f>
        <v>35276132</v>
      </c>
      <c r="E163" s="42"/>
      <c r="F163" s="42"/>
      <c r="G163" s="42"/>
      <c r="H163" s="42"/>
      <c r="I163" s="42"/>
      <c r="J163" s="42"/>
      <c r="K163" s="42"/>
      <c r="L163" s="305"/>
      <c r="M163" s="42"/>
      <c r="N163" s="42"/>
      <c r="O163" s="286"/>
      <c r="P163" s="286"/>
      <c r="Q163" s="286"/>
    </row>
    <row r="164" spans="3:19">
      <c r="C164" s="211">
        <v>2023</v>
      </c>
      <c r="D164" s="212">
        <f>+D147</f>
        <v>26457787</v>
      </c>
      <c r="O164" s="40"/>
      <c r="P164" s="40"/>
      <c r="Q164" s="40"/>
    </row>
    <row r="165" spans="3:19">
      <c r="C165" s="211"/>
      <c r="D165" s="217">
        <f>SUM(D161:D164)</f>
        <v>81002532</v>
      </c>
      <c r="O165" s="40"/>
      <c r="P165" s="40"/>
    </row>
    <row r="166" spans="3:19" ht="15.75" thickBot="1">
      <c r="C166" s="213"/>
      <c r="D166" s="214"/>
      <c r="O166" s="40"/>
      <c r="P166" s="40"/>
    </row>
    <row r="167" spans="3:19">
      <c r="E167">
        <f>+'COCIDA 2020'!Q62</f>
        <v>235745442.58999997</v>
      </c>
      <c r="O167" s="40"/>
      <c r="P167" s="40"/>
    </row>
    <row r="168" spans="3:19">
      <c r="E168" s="23">
        <f>+'COCIDA 2021'!Q61</f>
        <v>995506007.25999999</v>
      </c>
      <c r="O168" s="40"/>
      <c r="P168" s="40"/>
    </row>
    <row r="169" spans="3:19">
      <c r="E169" s="23" t="e">
        <f>+#REF!</f>
        <v>#REF!</v>
      </c>
      <c r="O169" s="40"/>
      <c r="P169" s="40"/>
    </row>
    <row r="170" spans="3:19">
      <c r="E170" s="23">
        <f>+Q156</f>
        <v>2006144813.9010267</v>
      </c>
      <c r="O170" s="40"/>
      <c r="P170" s="40"/>
    </row>
    <row r="171" spans="3:19">
      <c r="E171" s="27" t="e">
        <f>SUM(E167:E170)</f>
        <v>#REF!</v>
      </c>
      <c r="J171">
        <f>73409+126294</f>
        <v>199703</v>
      </c>
      <c r="O171" s="40"/>
      <c r="P171" s="40"/>
    </row>
    <row r="172" spans="3:19">
      <c r="J172">
        <f>4258275+9230828.46</f>
        <v>13489103.460000001</v>
      </c>
    </row>
    <row r="174" spans="3:19">
      <c r="J174">
        <f>19788765.3-16158465.3</f>
        <v>3630300</v>
      </c>
    </row>
    <row r="178" spans="3:12">
      <c r="D178" s="345" t="s">
        <v>58</v>
      </c>
      <c r="E178" s="346" t="s">
        <v>283</v>
      </c>
      <c r="F178" s="346" t="s">
        <v>284</v>
      </c>
      <c r="G178" s="346" t="s">
        <v>285</v>
      </c>
      <c r="H178" s="346" t="s">
        <v>286</v>
      </c>
      <c r="I178" s="346" t="s">
        <v>287</v>
      </c>
      <c r="J178" s="346" t="s">
        <v>288</v>
      </c>
      <c r="K178" s="346" t="s">
        <v>289</v>
      </c>
      <c r="L178" s="346" t="s">
        <v>290</v>
      </c>
    </row>
    <row r="179" spans="3:12">
      <c r="C179" s="132" t="s">
        <v>6</v>
      </c>
      <c r="D179" s="128">
        <f>+E179+F179+G179+H179+I179+J179+K179+L179</f>
        <v>731375</v>
      </c>
      <c r="E179" s="279">
        <v>57097</v>
      </c>
      <c r="F179" s="279">
        <v>68502</v>
      </c>
      <c r="G179" s="279">
        <v>80338</v>
      </c>
      <c r="H179" s="279">
        <v>87662</v>
      </c>
      <c r="I179" s="279">
        <v>92779</v>
      </c>
      <c r="J179" s="280">
        <v>136221</v>
      </c>
      <c r="K179" s="309">
        <v>103776</v>
      </c>
      <c r="L179" s="279">
        <v>105000</v>
      </c>
    </row>
    <row r="180" spans="3:12">
      <c r="C180" s="129" t="s">
        <v>9</v>
      </c>
      <c r="D180" s="128">
        <f t="shared" ref="D180:D183" si="19">+E180+F180+G180+H180+I180+J180+K180+L180</f>
        <v>678448</v>
      </c>
      <c r="E180" s="13">
        <v>62148</v>
      </c>
      <c r="F180" s="13">
        <v>77499</v>
      </c>
      <c r="G180" s="13">
        <v>74252</v>
      </c>
      <c r="H180" s="13">
        <v>81411</v>
      </c>
      <c r="I180" s="13">
        <v>91857</v>
      </c>
      <c r="J180" s="44">
        <v>92296</v>
      </c>
      <c r="K180" s="308">
        <v>108776</v>
      </c>
      <c r="L180" s="13">
        <v>90209</v>
      </c>
    </row>
    <row r="181" spans="3:12">
      <c r="C181" s="132" t="s">
        <v>182</v>
      </c>
      <c r="D181" s="128">
        <f t="shared" si="19"/>
        <v>626734</v>
      </c>
      <c r="E181" s="279">
        <v>48768</v>
      </c>
      <c r="F181" s="279">
        <v>59061</v>
      </c>
      <c r="G181" s="279">
        <v>70758</v>
      </c>
      <c r="H181" s="279">
        <v>86499</v>
      </c>
      <c r="I181" s="279">
        <v>92696</v>
      </c>
      <c r="J181" s="281">
        <v>86070</v>
      </c>
      <c r="K181" s="311">
        <v>104477</v>
      </c>
      <c r="L181" s="279">
        <v>78405</v>
      </c>
    </row>
    <row r="182" spans="3:12">
      <c r="C182" s="129" t="s">
        <v>34</v>
      </c>
      <c r="D182" s="128">
        <f t="shared" si="19"/>
        <v>334551</v>
      </c>
      <c r="E182" s="279">
        <v>27334</v>
      </c>
      <c r="F182" s="279">
        <v>32443</v>
      </c>
      <c r="G182" s="279">
        <v>32035</v>
      </c>
      <c r="H182" s="279">
        <v>34945</v>
      </c>
      <c r="I182" s="279">
        <v>38437</v>
      </c>
      <c r="J182" s="289">
        <v>47202</v>
      </c>
      <c r="K182" s="312">
        <v>61825</v>
      </c>
      <c r="L182" s="290">
        <v>60330</v>
      </c>
    </row>
    <row r="183" spans="3:12">
      <c r="C183" s="132" t="s">
        <v>225</v>
      </c>
      <c r="D183" s="128">
        <f t="shared" si="19"/>
        <v>708095</v>
      </c>
      <c r="E183" s="279">
        <v>42733</v>
      </c>
      <c r="F183" s="279">
        <v>47407</v>
      </c>
      <c r="G183" s="279">
        <v>43475</v>
      </c>
      <c r="H183" s="279">
        <v>74584</v>
      </c>
      <c r="I183" s="279">
        <v>148395</v>
      </c>
      <c r="J183" s="280">
        <v>132773</v>
      </c>
      <c r="K183" s="309">
        <v>118999</v>
      </c>
      <c r="L183" s="279">
        <v>99729</v>
      </c>
    </row>
  </sheetData>
  <mergeCells count="4">
    <mergeCell ref="C3:D3"/>
    <mergeCell ref="C4:D4"/>
    <mergeCell ref="C43:D43"/>
    <mergeCell ref="C24:D24"/>
  </mergeCells>
  <pageMargins left="0.11811023622047245" right="0.11811023622047245" top="0.23622047244094491" bottom="0.15748031496062992" header="0.23622047244094491" footer="0.31496062992125984"/>
  <pageSetup scale="8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17"/>
  <sheetViews>
    <sheetView topLeftCell="I6" workbookViewId="0">
      <selection activeCell="Q18" sqref="Q18"/>
    </sheetView>
  </sheetViews>
  <sheetFormatPr baseColWidth="10" defaultRowHeight="15"/>
  <cols>
    <col min="1" max="1" width="0" hidden="1" customWidth="1"/>
    <col min="2" max="2" width="3.5703125" customWidth="1"/>
    <col min="3" max="3" width="25.140625" style="115" customWidth="1"/>
    <col min="4" max="4" width="13.7109375" style="115" customWidth="1"/>
    <col min="5" max="5" width="15.7109375" customWidth="1"/>
    <col min="6" max="6" width="15.5703125" customWidth="1"/>
    <col min="7" max="7" width="16.28515625" customWidth="1"/>
    <col min="8" max="9" width="15.85546875" customWidth="1"/>
    <col min="10" max="10" width="16.140625" customWidth="1"/>
    <col min="11" max="11" width="16.42578125" customWidth="1"/>
    <col min="12" max="12" width="16.5703125" customWidth="1"/>
    <col min="13" max="13" width="15.140625" customWidth="1"/>
    <col min="14" max="14" width="16" customWidth="1"/>
    <col min="15" max="15" width="15.42578125" customWidth="1"/>
    <col min="16" max="16" width="17" customWidth="1"/>
    <col min="17" max="17" width="16.85546875" customWidth="1"/>
    <col min="18" max="18" width="17.85546875" style="27" customWidth="1"/>
    <col min="19" max="19" width="18.7109375" customWidth="1"/>
    <col min="20" max="20" width="16.85546875" bestFit="1" customWidth="1"/>
    <col min="21" max="21" width="17.28515625" bestFit="1" customWidth="1"/>
  </cols>
  <sheetData>
    <row r="1" spans="2:20">
      <c r="E1" s="24"/>
    </row>
    <row r="2" spans="2:20" ht="15.75" thickBot="1">
      <c r="G2" s="27">
        <f>+G94/22</f>
        <v>123560.31818181818</v>
      </c>
      <c r="K2" s="27"/>
      <c r="L2" s="16"/>
      <c r="M2" s="27"/>
      <c r="N2" s="27"/>
      <c r="O2" s="27"/>
      <c r="P2" s="27"/>
      <c r="Q2" s="27"/>
    </row>
    <row r="3" spans="2:20" ht="15.75" thickBot="1">
      <c r="C3" s="385" t="s">
        <v>71</v>
      </c>
      <c r="D3" s="386"/>
    </row>
    <row r="4" spans="2:20" ht="15.75" thickBot="1">
      <c r="C4" s="387" t="s">
        <v>1</v>
      </c>
      <c r="D4" s="388"/>
      <c r="E4" s="116" t="s">
        <v>48</v>
      </c>
      <c r="F4" s="116" t="s">
        <v>49</v>
      </c>
      <c r="G4" s="116" t="s">
        <v>50</v>
      </c>
      <c r="H4" s="116" t="s">
        <v>51</v>
      </c>
      <c r="I4" s="116" t="s">
        <v>52</v>
      </c>
      <c r="J4" s="116" t="s">
        <v>53</v>
      </c>
      <c r="K4" s="116" t="s">
        <v>54</v>
      </c>
      <c r="L4" s="117" t="s">
        <v>55</v>
      </c>
      <c r="M4" s="118" t="s">
        <v>140</v>
      </c>
      <c r="N4" s="118" t="s">
        <v>57</v>
      </c>
      <c r="O4" s="118" t="s">
        <v>66</v>
      </c>
      <c r="P4" s="118" t="s">
        <v>67</v>
      </c>
      <c r="Q4" s="116" t="s">
        <v>58</v>
      </c>
    </row>
    <row r="5" spans="2:20" ht="15.75" thickBot="1">
      <c r="C5" s="119" t="s">
        <v>2</v>
      </c>
      <c r="D5" s="120">
        <f>+Q5</f>
        <v>3726766</v>
      </c>
      <c r="E5" s="121">
        <f>50299+8265+12530+119794</f>
        <v>190888</v>
      </c>
      <c r="F5" s="121">
        <f>135601+49106+6495+11257</f>
        <v>202459</v>
      </c>
      <c r="G5" s="121">
        <f>186470+71881</f>
        <v>258351</v>
      </c>
      <c r="H5" s="121">
        <f>70086+186405</f>
        <v>256491</v>
      </c>
      <c r="I5" s="121">
        <f>178981+74110</f>
        <v>253091</v>
      </c>
      <c r="J5" s="122">
        <f>154406+69190</f>
        <v>223596</v>
      </c>
      <c r="K5" s="122">
        <f>+'[4]BENEFICIARIO PR.TRIMESTRE'!$L$5</f>
        <v>220442</v>
      </c>
      <c r="L5" s="121">
        <f>+'[3]BENEFICIARIO PR.TRIMESTRE'!$M$5</f>
        <v>267717</v>
      </c>
      <c r="M5" s="122">
        <v>260566</v>
      </c>
      <c r="N5" s="122">
        <f>246380+77691</f>
        <v>324071</v>
      </c>
      <c r="O5" s="122">
        <v>324695</v>
      </c>
      <c r="P5" s="122">
        <f>862749+81650</f>
        <v>944399</v>
      </c>
      <c r="Q5" s="13">
        <f>SUM(E5:P5)</f>
        <v>3726766</v>
      </c>
      <c r="S5" s="23"/>
    </row>
    <row r="6" spans="2:20" ht="15.75" thickBot="1">
      <c r="C6" s="123" t="s">
        <v>3</v>
      </c>
      <c r="D6" s="124"/>
      <c r="E6" s="112">
        <f>E5</f>
        <v>190888</v>
      </c>
      <c r="F6" s="125">
        <f>SUM(F5)</f>
        <v>202459</v>
      </c>
      <c r="G6" s="125">
        <f t="shared" ref="G6:P6" si="0">SUM(G5)</f>
        <v>258351</v>
      </c>
      <c r="H6" s="125">
        <f t="shared" si="0"/>
        <v>256491</v>
      </c>
      <c r="I6" s="125">
        <f t="shared" si="0"/>
        <v>253091</v>
      </c>
      <c r="J6" s="125">
        <f t="shared" si="0"/>
        <v>223596</v>
      </c>
      <c r="K6" s="125">
        <f t="shared" si="0"/>
        <v>220442</v>
      </c>
      <c r="L6" s="125">
        <f t="shared" si="0"/>
        <v>267717</v>
      </c>
      <c r="M6" s="125">
        <f t="shared" si="0"/>
        <v>260566</v>
      </c>
      <c r="N6" s="125">
        <f t="shared" si="0"/>
        <v>324071</v>
      </c>
      <c r="O6" s="125">
        <f t="shared" si="0"/>
        <v>324695</v>
      </c>
      <c r="P6" s="125">
        <f t="shared" si="0"/>
        <v>944399</v>
      </c>
      <c r="Q6" s="45">
        <f>SUM(E6:P6)</f>
        <v>3726766</v>
      </c>
      <c r="S6" s="23">
        <f t="shared" ref="S6" si="1">+Q6*R6</f>
        <v>0</v>
      </c>
      <c r="T6">
        <f>+T98</f>
        <v>1335921780.3800001</v>
      </c>
    </row>
    <row r="7" spans="2:20">
      <c r="B7">
        <v>1</v>
      </c>
      <c r="C7" s="127" t="s">
        <v>4</v>
      </c>
      <c r="D7" s="128">
        <f>+Q7</f>
        <v>5829518</v>
      </c>
      <c r="E7" s="13">
        <f>253120+2200+80683</f>
        <v>336003</v>
      </c>
      <c r="F7" s="13">
        <f>231610+1660+127010</f>
        <v>360280</v>
      </c>
      <c r="G7" s="13">
        <v>399486</v>
      </c>
      <c r="H7" s="13">
        <v>362183</v>
      </c>
      <c r="I7" s="13">
        <v>420412</v>
      </c>
      <c r="J7" s="13">
        <v>367460</v>
      </c>
      <c r="K7" s="13">
        <v>396119</v>
      </c>
      <c r="L7" s="13">
        <v>403333</v>
      </c>
      <c r="M7" s="13">
        <v>388981</v>
      </c>
      <c r="N7" s="13">
        <v>370142</v>
      </c>
      <c r="O7" s="13">
        <v>368916</v>
      </c>
      <c r="P7" s="13">
        <v>1656203</v>
      </c>
      <c r="Q7" s="13">
        <f>SUM(E7:P7)</f>
        <v>5829518</v>
      </c>
      <c r="R7" s="113"/>
      <c r="S7" s="23">
        <f>+Q7*R7</f>
        <v>0</v>
      </c>
      <c r="T7" s="16">
        <f>SUM(E7:Q7)</f>
        <v>11659036</v>
      </c>
    </row>
    <row r="8" spans="2:20">
      <c r="B8">
        <v>2</v>
      </c>
      <c r="C8" s="129" t="s">
        <v>5</v>
      </c>
      <c r="D8" s="130">
        <f t="shared" ref="D8:D90" si="2">+Q8</f>
        <v>1953139</v>
      </c>
      <c r="E8" s="13">
        <f>5959+2115+22860</f>
        <v>30934</v>
      </c>
      <c r="F8" s="13">
        <f>5800+2405+42207</f>
        <v>50412</v>
      </c>
      <c r="G8" s="13">
        <v>77156</v>
      </c>
      <c r="H8" s="13">
        <v>46660</v>
      </c>
      <c r="I8" s="13">
        <v>88560</v>
      </c>
      <c r="J8" s="44">
        <v>62879</v>
      </c>
      <c r="K8" s="44">
        <v>81161</v>
      </c>
      <c r="L8" s="13">
        <v>64467</v>
      </c>
      <c r="M8" s="13">
        <v>67639</v>
      </c>
      <c r="N8" s="13">
        <v>69597</v>
      </c>
      <c r="O8" s="13">
        <v>69202</v>
      </c>
      <c r="P8" s="13">
        <v>1244472</v>
      </c>
      <c r="Q8" s="13">
        <f t="shared" ref="Q8:Q71" si="3">SUM(E8:P8)</f>
        <v>1953139</v>
      </c>
      <c r="R8" s="113"/>
      <c r="S8" s="23">
        <f t="shared" ref="S8:S72" si="4">+Q8*R8</f>
        <v>0</v>
      </c>
    </row>
    <row r="9" spans="2:20" s="115" customFormat="1">
      <c r="B9">
        <v>3</v>
      </c>
      <c r="C9" s="132" t="s">
        <v>6</v>
      </c>
      <c r="D9" s="128">
        <f t="shared" si="2"/>
        <v>2014126</v>
      </c>
      <c r="E9" s="279">
        <f>7510+50489</f>
        <v>57999</v>
      </c>
      <c r="F9" s="279">
        <f>9570+68416</f>
        <v>77986</v>
      </c>
      <c r="G9" s="279">
        <v>90146</v>
      </c>
      <c r="H9" s="279">
        <v>81624</v>
      </c>
      <c r="I9" s="279">
        <v>125513</v>
      </c>
      <c r="J9" s="280">
        <v>110116</v>
      </c>
      <c r="K9" s="280">
        <v>98387</v>
      </c>
      <c r="L9" s="279">
        <v>103006</v>
      </c>
      <c r="M9" s="13">
        <v>87106</v>
      </c>
      <c r="N9" s="13">
        <v>95241</v>
      </c>
      <c r="O9" s="13">
        <v>91274</v>
      </c>
      <c r="P9" s="13">
        <v>995728</v>
      </c>
      <c r="Q9" s="13">
        <f t="shared" si="3"/>
        <v>2014126</v>
      </c>
      <c r="R9" s="113"/>
      <c r="S9" s="23">
        <f t="shared" si="4"/>
        <v>0</v>
      </c>
    </row>
    <row r="10" spans="2:20">
      <c r="B10">
        <v>4</v>
      </c>
      <c r="C10" s="129" t="s">
        <v>7</v>
      </c>
      <c r="D10" s="130">
        <f t="shared" si="2"/>
        <v>1397726</v>
      </c>
      <c r="E10" s="13">
        <f>3829+37646</f>
        <v>41475</v>
      </c>
      <c r="F10" s="13">
        <f>4440+60562</f>
        <v>65002</v>
      </c>
      <c r="G10" s="13">
        <v>79507</v>
      </c>
      <c r="H10" s="13">
        <v>59005</v>
      </c>
      <c r="I10" s="13">
        <v>99521</v>
      </c>
      <c r="J10" s="44">
        <v>72537</v>
      </c>
      <c r="K10" s="44">
        <v>76069</v>
      </c>
      <c r="L10" s="13">
        <v>80402</v>
      </c>
      <c r="M10" s="13">
        <v>63217</v>
      </c>
      <c r="N10" s="13">
        <v>61302</v>
      </c>
      <c r="O10" s="13">
        <v>69800</v>
      </c>
      <c r="P10" s="13">
        <v>629889</v>
      </c>
      <c r="Q10" s="13">
        <f t="shared" si="3"/>
        <v>1397726</v>
      </c>
      <c r="R10" s="113"/>
      <c r="S10" s="23">
        <f t="shared" si="4"/>
        <v>0</v>
      </c>
    </row>
    <row r="11" spans="2:20" s="115" customFormat="1">
      <c r="B11">
        <v>5</v>
      </c>
      <c r="C11" s="132" t="s">
        <v>8</v>
      </c>
      <c r="D11" s="128">
        <f t="shared" si="2"/>
        <v>1377992</v>
      </c>
      <c r="E11" s="279">
        <f>459+45419</f>
        <v>45878</v>
      </c>
      <c r="F11" s="279">
        <f>598+71779</f>
        <v>72377</v>
      </c>
      <c r="G11" s="279">
        <v>88995</v>
      </c>
      <c r="H11" s="279">
        <v>64420</v>
      </c>
      <c r="I11" s="279">
        <v>94801</v>
      </c>
      <c r="J11" s="280">
        <v>75268</v>
      </c>
      <c r="K11" s="280">
        <v>77490</v>
      </c>
      <c r="L11" s="279">
        <v>75038</v>
      </c>
      <c r="M11" s="13">
        <v>72576</v>
      </c>
      <c r="N11" s="13">
        <v>80095</v>
      </c>
      <c r="O11" s="13">
        <v>73007</v>
      </c>
      <c r="P11" s="13">
        <v>558047</v>
      </c>
      <c r="Q11" s="13">
        <f t="shared" si="3"/>
        <v>1377992</v>
      </c>
      <c r="R11" s="113"/>
      <c r="S11" s="23">
        <f t="shared" si="4"/>
        <v>0</v>
      </c>
    </row>
    <row r="12" spans="2:20">
      <c r="B12">
        <v>6</v>
      </c>
      <c r="C12" s="129" t="s">
        <v>9</v>
      </c>
      <c r="D12" s="130">
        <f t="shared" si="2"/>
        <v>1707303</v>
      </c>
      <c r="E12" s="13">
        <f>450+643+51175</f>
        <v>52268</v>
      </c>
      <c r="F12" s="13">
        <f>2410+807+74681</f>
        <v>77898</v>
      </c>
      <c r="G12" s="13">
        <v>94725</v>
      </c>
      <c r="H12" s="13">
        <v>75367</v>
      </c>
      <c r="I12" s="13">
        <v>98283</v>
      </c>
      <c r="J12" s="44">
        <v>92967</v>
      </c>
      <c r="K12" s="44">
        <v>100356</v>
      </c>
      <c r="L12" s="13">
        <v>101197</v>
      </c>
      <c r="M12" s="13">
        <v>89907</v>
      </c>
      <c r="N12" s="13">
        <v>96866</v>
      </c>
      <c r="O12" s="13">
        <v>116904</v>
      </c>
      <c r="P12" s="13">
        <v>710565</v>
      </c>
      <c r="Q12" s="13">
        <f t="shared" si="3"/>
        <v>1707303</v>
      </c>
      <c r="R12" s="113"/>
      <c r="S12" s="23">
        <f t="shared" si="4"/>
        <v>0</v>
      </c>
    </row>
    <row r="13" spans="2:20" s="115" customFormat="1">
      <c r="B13">
        <v>7</v>
      </c>
      <c r="C13" s="132" t="s">
        <v>185</v>
      </c>
      <c r="D13" s="128">
        <f>+Q13</f>
        <v>73712</v>
      </c>
      <c r="E13" s="279"/>
      <c r="F13" s="279"/>
      <c r="G13" s="279"/>
      <c r="H13" s="279"/>
      <c r="I13" s="279"/>
      <c r="J13" s="280"/>
      <c r="K13" s="280">
        <v>6724</v>
      </c>
      <c r="L13" s="279">
        <v>10090</v>
      </c>
      <c r="M13" s="13">
        <v>13280</v>
      </c>
      <c r="N13" s="13">
        <v>15327</v>
      </c>
      <c r="O13" s="13">
        <v>14520</v>
      </c>
      <c r="P13" s="13">
        <v>13771</v>
      </c>
      <c r="Q13" s="13">
        <f t="shared" si="3"/>
        <v>73712</v>
      </c>
      <c r="R13" s="113"/>
      <c r="S13" s="23">
        <f t="shared" si="4"/>
        <v>0</v>
      </c>
    </row>
    <row r="14" spans="2:20">
      <c r="B14">
        <v>8</v>
      </c>
      <c r="C14" s="129" t="s">
        <v>10</v>
      </c>
      <c r="D14" s="130">
        <f t="shared" si="2"/>
        <v>1177832</v>
      </c>
      <c r="E14" s="13">
        <f>806+37863+3000</f>
        <v>41669</v>
      </c>
      <c r="F14" s="13">
        <f>1018+57095</f>
        <v>58113</v>
      </c>
      <c r="G14" s="13">
        <v>68840</v>
      </c>
      <c r="H14" s="13">
        <v>50660</v>
      </c>
      <c r="I14" s="13">
        <v>63619</v>
      </c>
      <c r="J14" s="44">
        <v>54000</v>
      </c>
      <c r="K14" s="44">
        <v>60236</v>
      </c>
      <c r="L14" s="13">
        <v>55107</v>
      </c>
      <c r="M14" s="13">
        <v>54521</v>
      </c>
      <c r="N14" s="13">
        <v>59576</v>
      </c>
      <c r="O14" s="13">
        <v>61860</v>
      </c>
      <c r="P14" s="13">
        <v>549631</v>
      </c>
      <c r="Q14" s="13">
        <f t="shared" si="3"/>
        <v>1177832</v>
      </c>
      <c r="R14" s="113"/>
      <c r="S14" s="23">
        <f t="shared" si="4"/>
        <v>0</v>
      </c>
    </row>
    <row r="15" spans="2:20">
      <c r="B15">
        <v>9</v>
      </c>
      <c r="C15" s="132" t="s">
        <v>11</v>
      </c>
      <c r="D15" s="128">
        <f t="shared" si="2"/>
        <v>1073937</v>
      </c>
      <c r="E15" s="13">
        <f>2970+641+27219</f>
        <v>30830</v>
      </c>
      <c r="F15" s="13">
        <f>3696+902+46104</f>
        <v>50702</v>
      </c>
      <c r="G15" s="13">
        <v>61578</v>
      </c>
      <c r="H15" s="13">
        <v>43986</v>
      </c>
      <c r="I15" s="13">
        <v>59108</v>
      </c>
      <c r="J15" s="44">
        <v>55395</v>
      </c>
      <c r="K15" s="44">
        <v>61484</v>
      </c>
      <c r="L15" s="13">
        <v>60912</v>
      </c>
      <c r="M15" s="13">
        <v>43706</v>
      </c>
      <c r="N15" s="13">
        <v>54325</v>
      </c>
      <c r="O15" s="13">
        <v>66420</v>
      </c>
      <c r="P15" s="13">
        <v>485491</v>
      </c>
      <c r="Q15" s="13">
        <f t="shared" si="3"/>
        <v>1073937</v>
      </c>
      <c r="R15" s="113"/>
      <c r="S15" s="23">
        <f t="shared" si="4"/>
        <v>0</v>
      </c>
    </row>
    <row r="16" spans="2:20">
      <c r="B16">
        <v>10</v>
      </c>
      <c r="C16" s="129" t="s">
        <v>159</v>
      </c>
      <c r="D16" s="130">
        <f>+Q16</f>
        <v>322394</v>
      </c>
      <c r="E16" s="13"/>
      <c r="F16" s="13">
        <f>10+1115</f>
        <v>1125</v>
      </c>
      <c r="G16" s="13">
        <v>32951</v>
      </c>
      <c r="H16" s="13">
        <v>19935</v>
      </c>
      <c r="I16" s="13">
        <v>22240</v>
      </c>
      <c r="J16" s="131">
        <v>20827</v>
      </c>
      <c r="K16" s="131">
        <v>20800</v>
      </c>
      <c r="L16" s="14">
        <v>25480</v>
      </c>
      <c r="M16" s="13">
        <v>25000</v>
      </c>
      <c r="N16" s="13">
        <v>33450</v>
      </c>
      <c r="O16" s="13">
        <v>46278</v>
      </c>
      <c r="P16" s="13">
        <v>74308</v>
      </c>
      <c r="Q16" s="13">
        <f t="shared" si="3"/>
        <v>322394</v>
      </c>
      <c r="R16" s="113"/>
      <c r="S16" s="23">
        <f t="shared" si="4"/>
        <v>0</v>
      </c>
    </row>
    <row r="17" spans="2:19" s="115" customFormat="1">
      <c r="B17">
        <v>11</v>
      </c>
      <c r="C17" s="132" t="s">
        <v>75</v>
      </c>
      <c r="D17" s="128">
        <f t="shared" si="2"/>
        <v>298930</v>
      </c>
      <c r="E17" s="279">
        <f>209+11552+380+3379</f>
        <v>15520</v>
      </c>
      <c r="F17" s="279">
        <f>223+15056+486+4613</f>
        <v>20378</v>
      </c>
      <c r="G17" s="279">
        <v>24826</v>
      </c>
      <c r="H17" s="279">
        <v>21350</v>
      </c>
      <c r="I17" s="279">
        <v>25653</v>
      </c>
      <c r="J17" s="280">
        <v>25252</v>
      </c>
      <c r="K17" s="280">
        <v>26194</v>
      </c>
      <c r="L17" s="279">
        <v>20092</v>
      </c>
      <c r="M17" s="13">
        <v>21211</v>
      </c>
      <c r="N17" s="13">
        <v>23980</v>
      </c>
      <c r="O17" s="13">
        <v>23471</v>
      </c>
      <c r="P17" s="13">
        <v>51003</v>
      </c>
      <c r="Q17" s="13">
        <f t="shared" si="3"/>
        <v>298930</v>
      </c>
      <c r="R17" s="113"/>
      <c r="S17" s="23">
        <f t="shared" si="4"/>
        <v>0</v>
      </c>
    </row>
    <row r="18" spans="2:19">
      <c r="B18">
        <v>12</v>
      </c>
      <c r="C18" s="129" t="s">
        <v>156</v>
      </c>
      <c r="D18" s="130">
        <f t="shared" si="2"/>
        <v>934356</v>
      </c>
      <c r="E18" s="13"/>
      <c r="F18" s="13">
        <f>6770+86772+25621</f>
        <v>119163</v>
      </c>
      <c r="G18" s="13">
        <v>167444</v>
      </c>
      <c r="H18" s="13">
        <v>104864</v>
      </c>
      <c r="I18" s="13">
        <v>12419</v>
      </c>
      <c r="J18" s="44">
        <v>25268</v>
      </c>
      <c r="K18" s="44">
        <v>37561</v>
      </c>
      <c r="L18" s="13">
        <v>0</v>
      </c>
      <c r="M18" s="13">
        <v>95241</v>
      </c>
      <c r="N18" s="13">
        <v>207054</v>
      </c>
      <c r="O18" s="13">
        <v>157165</v>
      </c>
      <c r="P18" s="13">
        <v>8177</v>
      </c>
      <c r="Q18" s="13">
        <f t="shared" si="3"/>
        <v>934356</v>
      </c>
      <c r="R18" s="113"/>
      <c r="S18" s="23">
        <f t="shared" si="4"/>
        <v>0</v>
      </c>
    </row>
    <row r="19" spans="2:19">
      <c r="B19">
        <v>13</v>
      </c>
      <c r="C19" s="132" t="s">
        <v>180</v>
      </c>
      <c r="D19" s="128">
        <f t="shared" si="2"/>
        <v>95831</v>
      </c>
      <c r="E19" s="13"/>
      <c r="F19" s="13"/>
      <c r="G19" s="13"/>
      <c r="H19" s="13"/>
      <c r="I19" s="13">
        <v>11090</v>
      </c>
      <c r="J19" s="44">
        <v>12969</v>
      </c>
      <c r="K19" s="44">
        <v>15907</v>
      </c>
      <c r="L19" s="13">
        <v>14188</v>
      </c>
      <c r="M19" s="13">
        <v>12476</v>
      </c>
      <c r="N19" s="13">
        <v>7346</v>
      </c>
      <c r="O19" s="13">
        <v>10531</v>
      </c>
      <c r="P19" s="13">
        <v>11324</v>
      </c>
      <c r="Q19" s="13">
        <f t="shared" si="3"/>
        <v>95831</v>
      </c>
      <c r="R19" s="113"/>
      <c r="S19" s="23">
        <f t="shared" si="4"/>
        <v>0</v>
      </c>
    </row>
    <row r="20" spans="2:19">
      <c r="B20">
        <v>14</v>
      </c>
      <c r="C20" s="129" t="s">
        <v>181</v>
      </c>
      <c r="D20" s="130">
        <f t="shared" si="2"/>
        <v>268985</v>
      </c>
      <c r="E20" s="13"/>
      <c r="F20" s="13"/>
      <c r="G20" s="13"/>
      <c r="H20" s="13"/>
      <c r="I20" s="13">
        <v>4462</v>
      </c>
      <c r="J20" s="44">
        <v>22412</v>
      </c>
      <c r="K20" s="44">
        <v>26636</v>
      </c>
      <c r="L20" s="13">
        <v>27687</v>
      </c>
      <c r="M20" s="13">
        <v>21063</v>
      </c>
      <c r="N20" s="13">
        <v>25794</v>
      </c>
      <c r="O20" s="13">
        <v>31081</v>
      </c>
      <c r="P20" s="13">
        <v>109850</v>
      </c>
      <c r="Q20" s="13">
        <f t="shared" si="3"/>
        <v>268985</v>
      </c>
      <c r="R20" s="113"/>
      <c r="S20" s="23">
        <f t="shared" si="4"/>
        <v>0</v>
      </c>
    </row>
    <row r="21" spans="2:19">
      <c r="B21">
        <v>15</v>
      </c>
      <c r="C21" s="132" t="s">
        <v>14</v>
      </c>
      <c r="D21" s="128">
        <f t="shared" si="2"/>
        <v>237192</v>
      </c>
      <c r="E21" s="13">
        <f>448+8715</f>
        <v>9163</v>
      </c>
      <c r="F21" s="13">
        <f>560+16225</f>
        <v>16785</v>
      </c>
      <c r="G21" s="13">
        <v>19110</v>
      </c>
      <c r="H21" s="13">
        <v>15509</v>
      </c>
      <c r="I21" s="13">
        <v>22194</v>
      </c>
      <c r="J21" s="44">
        <v>17794</v>
      </c>
      <c r="K21" s="44">
        <v>18728</v>
      </c>
      <c r="L21" s="13">
        <v>19321</v>
      </c>
      <c r="M21" s="13">
        <v>17546</v>
      </c>
      <c r="N21" s="13">
        <v>19261</v>
      </c>
      <c r="O21" s="13">
        <v>19958</v>
      </c>
      <c r="P21" s="13">
        <v>41823</v>
      </c>
      <c r="Q21" s="13">
        <f t="shared" si="3"/>
        <v>237192</v>
      </c>
      <c r="R21" s="113"/>
      <c r="S21" s="23">
        <f t="shared" si="4"/>
        <v>0</v>
      </c>
    </row>
    <row r="22" spans="2:19">
      <c r="B22">
        <v>16</v>
      </c>
      <c r="C22" s="129" t="s">
        <v>12</v>
      </c>
      <c r="D22" s="130">
        <f>+Q22</f>
        <v>253902</v>
      </c>
      <c r="E22" s="13">
        <f>330+12194</f>
        <v>12524</v>
      </c>
      <c r="F22" s="13">
        <f>418+15942</f>
        <v>16360</v>
      </c>
      <c r="G22" s="13">
        <v>21327</v>
      </c>
      <c r="H22" s="13">
        <v>17162</v>
      </c>
      <c r="I22" s="13">
        <v>20423</v>
      </c>
      <c r="J22" s="44">
        <v>18381</v>
      </c>
      <c r="K22" s="44">
        <v>21249</v>
      </c>
      <c r="L22" s="13">
        <v>22976</v>
      </c>
      <c r="M22" s="13">
        <v>19664</v>
      </c>
      <c r="N22" s="13">
        <v>20906</v>
      </c>
      <c r="O22" s="13">
        <v>20820</v>
      </c>
      <c r="P22" s="13">
        <v>42110</v>
      </c>
      <c r="Q22" s="13">
        <f t="shared" si="3"/>
        <v>253902</v>
      </c>
      <c r="R22" s="113"/>
      <c r="S22" s="23">
        <f t="shared" si="4"/>
        <v>0</v>
      </c>
    </row>
    <row r="23" spans="2:19">
      <c r="B23">
        <v>17</v>
      </c>
      <c r="C23" s="129" t="s">
        <v>230</v>
      </c>
      <c r="D23" s="130">
        <f>+Q23</f>
        <v>68489</v>
      </c>
      <c r="E23" s="13"/>
      <c r="F23" s="13"/>
      <c r="G23" s="13"/>
      <c r="H23" s="13"/>
      <c r="I23" s="13"/>
      <c r="J23" s="44"/>
      <c r="K23" s="44"/>
      <c r="L23" s="13"/>
      <c r="M23" s="13"/>
      <c r="N23" s="13">
        <v>8670</v>
      </c>
      <c r="O23" s="13">
        <v>10550</v>
      </c>
      <c r="P23" s="13">
        <v>49269</v>
      </c>
      <c r="Q23" s="13">
        <f t="shared" si="3"/>
        <v>68489</v>
      </c>
      <c r="R23" s="113"/>
      <c r="S23" s="23">
        <f t="shared" si="4"/>
        <v>0</v>
      </c>
    </row>
    <row r="24" spans="2:19" s="115" customFormat="1">
      <c r="B24">
        <v>18</v>
      </c>
      <c r="C24" s="132" t="s">
        <v>13</v>
      </c>
      <c r="D24" s="128">
        <f t="shared" si="2"/>
        <v>254576</v>
      </c>
      <c r="E24" s="279">
        <f>249+13251</f>
        <v>13500</v>
      </c>
      <c r="F24" s="279">
        <f>319+18324</f>
        <v>18643</v>
      </c>
      <c r="G24" s="279">
        <v>21804</v>
      </c>
      <c r="H24" s="279">
        <v>16032</v>
      </c>
      <c r="I24" s="279">
        <v>21478</v>
      </c>
      <c r="J24" s="280">
        <v>19893</v>
      </c>
      <c r="K24" s="280">
        <v>20188</v>
      </c>
      <c r="L24" s="279">
        <v>19857</v>
      </c>
      <c r="M24" s="13">
        <v>21881</v>
      </c>
      <c r="N24" s="13">
        <v>32574</v>
      </c>
      <c r="O24" s="13">
        <v>21236</v>
      </c>
      <c r="P24" s="13">
        <v>27490</v>
      </c>
      <c r="Q24" s="13">
        <f t="shared" si="3"/>
        <v>254576</v>
      </c>
      <c r="R24" s="113"/>
      <c r="S24" s="23">
        <f t="shared" si="4"/>
        <v>0</v>
      </c>
    </row>
    <row r="25" spans="2:19">
      <c r="B25">
        <v>19</v>
      </c>
      <c r="C25" s="129" t="s">
        <v>15</v>
      </c>
      <c r="D25" s="130">
        <f t="shared" si="2"/>
        <v>320484</v>
      </c>
      <c r="E25" s="13">
        <f>259+6110</f>
        <v>6369</v>
      </c>
      <c r="F25" s="13">
        <f>298+11395</f>
        <v>11693</v>
      </c>
      <c r="G25" s="13">
        <v>12889</v>
      </c>
      <c r="H25" s="13">
        <v>11141</v>
      </c>
      <c r="I25" s="13">
        <v>11610</v>
      </c>
      <c r="J25" s="44">
        <v>9450</v>
      </c>
      <c r="K25" s="44">
        <v>11073</v>
      </c>
      <c r="L25" s="13">
        <v>15697</v>
      </c>
      <c r="M25" s="13">
        <v>13823</v>
      </c>
      <c r="N25" s="13">
        <v>10884</v>
      </c>
      <c r="O25" s="13">
        <v>14008</v>
      </c>
      <c r="P25" s="13">
        <v>191847</v>
      </c>
      <c r="Q25" s="13">
        <f t="shared" si="3"/>
        <v>320484</v>
      </c>
      <c r="R25" s="113"/>
      <c r="S25" s="23">
        <f t="shared" si="4"/>
        <v>0</v>
      </c>
    </row>
    <row r="26" spans="2:19">
      <c r="B26">
        <v>20</v>
      </c>
      <c r="C26" s="132" t="s">
        <v>18</v>
      </c>
      <c r="D26" s="128">
        <f t="shared" si="2"/>
        <v>328787</v>
      </c>
      <c r="E26" s="13">
        <f>212+8861+50</f>
        <v>9123</v>
      </c>
      <c r="F26" s="13">
        <f>252+12429</f>
        <v>12681</v>
      </c>
      <c r="G26" s="13">
        <v>18392</v>
      </c>
      <c r="H26" s="13">
        <v>16945</v>
      </c>
      <c r="I26" s="13">
        <v>21278</v>
      </c>
      <c r="J26" s="44">
        <v>19703</v>
      </c>
      <c r="K26" s="44">
        <v>18982</v>
      </c>
      <c r="L26" s="13">
        <v>24052</v>
      </c>
      <c r="M26" s="13">
        <v>22407</v>
      </c>
      <c r="N26" s="13">
        <v>22149</v>
      </c>
      <c r="O26" s="13">
        <v>27757</v>
      </c>
      <c r="P26" s="13">
        <v>115318</v>
      </c>
      <c r="Q26" s="13">
        <f t="shared" si="3"/>
        <v>328787</v>
      </c>
      <c r="R26" s="113"/>
      <c r="S26" s="23">
        <f t="shared" si="4"/>
        <v>0</v>
      </c>
    </row>
    <row r="27" spans="2:19">
      <c r="B27">
        <v>21</v>
      </c>
      <c r="C27" s="129" t="s">
        <v>70</v>
      </c>
      <c r="D27" s="130">
        <f t="shared" si="2"/>
        <v>526347</v>
      </c>
      <c r="E27" s="13">
        <f>180+23767</f>
        <v>23947</v>
      </c>
      <c r="F27" s="13">
        <f>228+33272</f>
        <v>33500</v>
      </c>
      <c r="G27" s="13">
        <v>38867</v>
      </c>
      <c r="H27" s="13">
        <v>29384</v>
      </c>
      <c r="I27" s="13">
        <v>34076</v>
      </c>
      <c r="J27" s="44">
        <v>35314</v>
      </c>
      <c r="K27" s="44">
        <v>35009</v>
      </c>
      <c r="L27" s="13">
        <v>38673</v>
      </c>
      <c r="M27" s="13">
        <v>36435</v>
      </c>
      <c r="N27" s="13">
        <v>38715</v>
      </c>
      <c r="O27" s="13">
        <v>46299</v>
      </c>
      <c r="P27" s="13">
        <v>136128</v>
      </c>
      <c r="Q27" s="13">
        <f t="shared" si="3"/>
        <v>526347</v>
      </c>
      <c r="R27" s="113"/>
      <c r="S27" s="23">
        <f t="shared" si="4"/>
        <v>0</v>
      </c>
    </row>
    <row r="28" spans="2:19">
      <c r="B28">
        <v>22</v>
      </c>
      <c r="C28" s="132" t="s">
        <v>141</v>
      </c>
      <c r="D28" s="128">
        <f t="shared" si="2"/>
        <v>0</v>
      </c>
      <c r="E28" s="13"/>
      <c r="F28" s="13"/>
      <c r="G28" s="13"/>
      <c r="H28" s="13"/>
      <c r="I28" s="13"/>
      <c r="J28" s="44"/>
      <c r="K28" s="44"/>
      <c r="L28" s="44">
        <v>0</v>
      </c>
      <c r="M28" s="13"/>
      <c r="N28" s="13"/>
      <c r="O28" s="13"/>
      <c r="P28" s="13"/>
      <c r="Q28" s="13">
        <f t="shared" si="3"/>
        <v>0</v>
      </c>
      <c r="R28" s="113"/>
      <c r="S28" s="23">
        <f t="shared" si="4"/>
        <v>0</v>
      </c>
    </row>
    <row r="29" spans="2:19">
      <c r="B29">
        <v>23</v>
      </c>
      <c r="C29" s="129" t="s">
        <v>16</v>
      </c>
      <c r="D29" s="130">
        <f t="shared" si="2"/>
        <v>344760</v>
      </c>
      <c r="E29" s="13">
        <f>220+14392</f>
        <v>14612</v>
      </c>
      <c r="F29" s="13">
        <f>256+19444</f>
        <v>19700</v>
      </c>
      <c r="G29" s="13">
        <v>25543</v>
      </c>
      <c r="H29" s="13">
        <v>22012</v>
      </c>
      <c r="I29" s="13">
        <v>22063</v>
      </c>
      <c r="J29" s="44">
        <v>19345</v>
      </c>
      <c r="K29" s="44">
        <v>20551</v>
      </c>
      <c r="L29" s="13">
        <v>23731</v>
      </c>
      <c r="M29" s="13">
        <v>23719</v>
      </c>
      <c r="N29" s="13">
        <v>25203</v>
      </c>
      <c r="O29" s="13">
        <v>26044</v>
      </c>
      <c r="P29" s="13">
        <v>102237</v>
      </c>
      <c r="Q29" s="13">
        <f t="shared" si="3"/>
        <v>344760</v>
      </c>
      <c r="R29" s="113"/>
      <c r="S29" s="23">
        <f t="shared" si="4"/>
        <v>0</v>
      </c>
    </row>
    <row r="30" spans="2:19" s="115" customFormat="1">
      <c r="B30">
        <v>24</v>
      </c>
      <c r="C30" s="132" t="s">
        <v>17</v>
      </c>
      <c r="D30" s="128">
        <f t="shared" si="2"/>
        <v>424023</v>
      </c>
      <c r="E30" s="279">
        <f>490+14849+500</f>
        <v>15839</v>
      </c>
      <c r="F30" s="279">
        <f>580+23004</f>
        <v>23584</v>
      </c>
      <c r="G30" s="279">
        <v>26852</v>
      </c>
      <c r="H30" s="279">
        <v>23252</v>
      </c>
      <c r="I30" s="279">
        <v>28318</v>
      </c>
      <c r="J30" s="280">
        <v>27201</v>
      </c>
      <c r="K30" s="280">
        <v>29099</v>
      </c>
      <c r="L30" s="279">
        <v>31213</v>
      </c>
      <c r="M30" s="13">
        <v>26289</v>
      </c>
      <c r="N30" s="13">
        <v>29662</v>
      </c>
      <c r="O30" s="13">
        <v>31785</v>
      </c>
      <c r="P30" s="13">
        <v>130929</v>
      </c>
      <c r="Q30" s="13">
        <f t="shared" si="3"/>
        <v>424023</v>
      </c>
      <c r="R30" s="113"/>
      <c r="S30" s="23">
        <f t="shared" si="4"/>
        <v>0</v>
      </c>
    </row>
    <row r="31" spans="2:19">
      <c r="B31">
        <v>25</v>
      </c>
      <c r="C31" s="129" t="s">
        <v>19</v>
      </c>
      <c r="D31" s="130">
        <f t="shared" si="2"/>
        <v>1209389</v>
      </c>
      <c r="E31" s="13">
        <f>262+27585</f>
        <v>27847</v>
      </c>
      <c r="F31" s="13">
        <f>330+45137</f>
        <v>45467</v>
      </c>
      <c r="G31" s="13">
        <v>61089</v>
      </c>
      <c r="H31" s="13">
        <v>43667</v>
      </c>
      <c r="I31" s="13">
        <v>55430</v>
      </c>
      <c r="J31" s="44">
        <v>51747</v>
      </c>
      <c r="K31" s="44">
        <v>53068</v>
      </c>
      <c r="L31" s="13">
        <v>56438</v>
      </c>
      <c r="M31" s="13">
        <v>53186</v>
      </c>
      <c r="N31" s="13">
        <v>58597</v>
      </c>
      <c r="O31" s="13">
        <v>54531</v>
      </c>
      <c r="P31" s="13">
        <v>648322</v>
      </c>
      <c r="Q31" s="13">
        <f t="shared" si="3"/>
        <v>1209389</v>
      </c>
      <c r="R31" s="113"/>
      <c r="S31" s="23">
        <f t="shared" si="4"/>
        <v>0</v>
      </c>
    </row>
    <row r="32" spans="2:19" s="115" customFormat="1">
      <c r="B32">
        <v>26</v>
      </c>
      <c r="C32" s="132" t="s">
        <v>157</v>
      </c>
      <c r="D32" s="128">
        <f>+Q32</f>
        <v>475233</v>
      </c>
      <c r="E32" s="279">
        <f>390+12975</f>
        <v>13365</v>
      </c>
      <c r="F32" s="279">
        <f>494+15796</f>
        <v>16290</v>
      </c>
      <c r="G32" s="279">
        <v>23932</v>
      </c>
      <c r="H32" s="279">
        <v>20228</v>
      </c>
      <c r="I32" s="279">
        <v>34189</v>
      </c>
      <c r="J32" s="280">
        <v>38245</v>
      </c>
      <c r="K32" s="280">
        <v>44775</v>
      </c>
      <c r="L32" s="279">
        <v>45950</v>
      </c>
      <c r="M32" s="13">
        <v>42538</v>
      </c>
      <c r="N32" s="13">
        <v>43979</v>
      </c>
      <c r="O32" s="13">
        <v>44698</v>
      </c>
      <c r="P32" s="13">
        <v>107044</v>
      </c>
      <c r="Q32" s="13">
        <f t="shared" si="3"/>
        <v>475233</v>
      </c>
      <c r="R32" s="113"/>
      <c r="S32" s="23">
        <f t="shared" si="4"/>
        <v>0</v>
      </c>
    </row>
    <row r="33" spans="2:19" s="115" customFormat="1">
      <c r="B33">
        <v>27</v>
      </c>
      <c r="C33" s="129" t="s">
        <v>155</v>
      </c>
      <c r="D33" s="130">
        <f t="shared" ref="D33" si="5">+Q33</f>
        <v>155885</v>
      </c>
      <c r="E33" s="279"/>
      <c r="F33" s="279">
        <f>84+2575</f>
        <v>2659</v>
      </c>
      <c r="G33" s="279">
        <v>13982</v>
      </c>
      <c r="H33" s="279">
        <v>11435</v>
      </c>
      <c r="I33" s="279">
        <v>13026</v>
      </c>
      <c r="J33" s="281">
        <v>12702</v>
      </c>
      <c r="K33" s="281">
        <v>13346</v>
      </c>
      <c r="L33" s="288">
        <v>14464</v>
      </c>
      <c r="M33" s="13">
        <v>11117</v>
      </c>
      <c r="N33" s="13">
        <v>11858</v>
      </c>
      <c r="O33" s="13">
        <v>11584</v>
      </c>
      <c r="P33" s="13">
        <v>39712</v>
      </c>
      <c r="Q33" s="13">
        <f t="shared" si="3"/>
        <v>155885</v>
      </c>
      <c r="R33" s="113"/>
      <c r="S33" s="23">
        <f t="shared" si="4"/>
        <v>0</v>
      </c>
    </row>
    <row r="34" spans="2:19" s="115" customFormat="1">
      <c r="B34">
        <v>28</v>
      </c>
      <c r="C34" s="132" t="s">
        <v>20</v>
      </c>
      <c r="D34" s="128">
        <f t="shared" si="2"/>
        <v>543702</v>
      </c>
      <c r="E34" s="279">
        <f>2900+233+21085</f>
        <v>24218</v>
      </c>
      <c r="F34" s="279">
        <f>3300+311+28533</f>
        <v>32144</v>
      </c>
      <c r="G34" s="279">
        <v>39220</v>
      </c>
      <c r="H34" s="279">
        <v>31028</v>
      </c>
      <c r="I34" s="279">
        <v>38006</v>
      </c>
      <c r="J34" s="280">
        <v>37410</v>
      </c>
      <c r="K34" s="280">
        <v>38695</v>
      </c>
      <c r="L34" s="279">
        <v>40343</v>
      </c>
      <c r="M34" s="13">
        <v>37517</v>
      </c>
      <c r="N34" s="13">
        <v>41379</v>
      </c>
      <c r="O34" s="13">
        <v>46682</v>
      </c>
      <c r="P34" s="13">
        <v>137060</v>
      </c>
      <c r="Q34" s="13">
        <f t="shared" si="3"/>
        <v>543702</v>
      </c>
      <c r="R34" s="113"/>
      <c r="S34" s="23">
        <f t="shared" si="4"/>
        <v>0</v>
      </c>
    </row>
    <row r="35" spans="2:19" s="115" customFormat="1">
      <c r="B35">
        <v>29</v>
      </c>
      <c r="C35" s="129" t="s">
        <v>21</v>
      </c>
      <c r="D35" s="130">
        <f t="shared" si="2"/>
        <v>513725</v>
      </c>
      <c r="E35" s="279">
        <f>645+360+20335</f>
        <v>21340</v>
      </c>
      <c r="F35" s="279">
        <f>817+418+27949</f>
        <v>29184</v>
      </c>
      <c r="G35" s="279">
        <v>35847</v>
      </c>
      <c r="H35" s="279">
        <v>28143</v>
      </c>
      <c r="I35" s="279">
        <v>34437</v>
      </c>
      <c r="J35" s="280">
        <v>33430</v>
      </c>
      <c r="K35" s="280">
        <v>34179</v>
      </c>
      <c r="L35" s="279">
        <v>36384</v>
      </c>
      <c r="M35" s="13">
        <v>36912</v>
      </c>
      <c r="N35" s="13">
        <v>38817</v>
      </c>
      <c r="O35" s="13">
        <v>36042</v>
      </c>
      <c r="P35" s="13">
        <v>149010</v>
      </c>
      <c r="Q35" s="13">
        <f t="shared" si="3"/>
        <v>513725</v>
      </c>
      <c r="R35" s="113"/>
      <c r="S35" s="23">
        <f t="shared" si="4"/>
        <v>0</v>
      </c>
    </row>
    <row r="36" spans="2:19" s="115" customFormat="1">
      <c r="B36">
        <v>30</v>
      </c>
      <c r="C36" s="132" t="s">
        <v>160</v>
      </c>
      <c r="D36" s="128">
        <f>+Q36</f>
        <v>133014</v>
      </c>
      <c r="E36" s="279"/>
      <c r="F36" s="279">
        <f>76+1943</f>
        <v>2019</v>
      </c>
      <c r="G36" s="279">
        <v>9283</v>
      </c>
      <c r="H36" s="279">
        <v>6736</v>
      </c>
      <c r="I36" s="279">
        <v>12599</v>
      </c>
      <c r="J36" s="281">
        <v>14951</v>
      </c>
      <c r="K36" s="281">
        <v>14716</v>
      </c>
      <c r="L36" s="288">
        <v>17297</v>
      </c>
      <c r="M36" s="13">
        <v>15374</v>
      </c>
      <c r="N36" s="13">
        <v>15478</v>
      </c>
      <c r="O36" s="13">
        <v>14239</v>
      </c>
      <c r="P36" s="13">
        <v>10322</v>
      </c>
      <c r="Q36" s="13">
        <f t="shared" si="3"/>
        <v>133014</v>
      </c>
      <c r="R36" s="113"/>
      <c r="S36" s="23">
        <f t="shared" si="4"/>
        <v>0</v>
      </c>
    </row>
    <row r="37" spans="2:19" s="115" customFormat="1">
      <c r="B37">
        <v>31</v>
      </c>
      <c r="C37" s="129" t="s">
        <v>144</v>
      </c>
      <c r="D37" s="130">
        <f t="shared" si="2"/>
        <v>564045</v>
      </c>
      <c r="E37" s="279">
        <f>261+21359+2728</f>
        <v>24348</v>
      </c>
      <c r="F37" s="279">
        <f>397+28500</f>
        <v>28897</v>
      </c>
      <c r="G37" s="279">
        <v>35300</v>
      </c>
      <c r="H37" s="279">
        <v>30200</v>
      </c>
      <c r="I37" s="279">
        <v>32300</v>
      </c>
      <c r="J37" s="280">
        <v>32900</v>
      </c>
      <c r="K37" s="280">
        <v>33450</v>
      </c>
      <c r="L37" s="279">
        <v>35670</v>
      </c>
      <c r="M37" s="13">
        <v>33600</v>
      </c>
      <c r="N37" s="13">
        <v>35200</v>
      </c>
      <c r="O37" s="13">
        <v>39080</v>
      </c>
      <c r="P37" s="13">
        <v>203100</v>
      </c>
      <c r="Q37" s="13">
        <f t="shared" si="3"/>
        <v>564045</v>
      </c>
      <c r="R37" s="113"/>
      <c r="S37" s="23">
        <f t="shared" si="4"/>
        <v>0</v>
      </c>
    </row>
    <row r="38" spans="2:19" s="115" customFormat="1">
      <c r="B38">
        <v>32</v>
      </c>
      <c r="C38" s="132" t="s">
        <v>186</v>
      </c>
      <c r="D38" s="128">
        <f t="shared" si="2"/>
        <v>132860</v>
      </c>
      <c r="E38" s="279"/>
      <c r="F38" s="279"/>
      <c r="G38" s="279"/>
      <c r="H38" s="279">
        <v>4323</v>
      </c>
      <c r="I38" s="279">
        <v>14498</v>
      </c>
      <c r="J38" s="280">
        <v>18858</v>
      </c>
      <c r="K38" s="280">
        <v>17716</v>
      </c>
      <c r="L38" s="279">
        <v>15657</v>
      </c>
      <c r="M38" s="13">
        <v>14415</v>
      </c>
      <c r="N38" s="13">
        <v>15292</v>
      </c>
      <c r="O38" s="13">
        <v>16140</v>
      </c>
      <c r="P38" s="13">
        <v>15961</v>
      </c>
      <c r="Q38" s="13">
        <f t="shared" si="3"/>
        <v>132860</v>
      </c>
      <c r="R38" s="113"/>
      <c r="S38" s="23">
        <f t="shared" si="4"/>
        <v>0</v>
      </c>
    </row>
    <row r="39" spans="2:19" s="115" customFormat="1">
      <c r="B39">
        <v>33</v>
      </c>
      <c r="C39" s="129" t="s">
        <v>22</v>
      </c>
      <c r="D39" s="130">
        <f t="shared" si="2"/>
        <v>1099073</v>
      </c>
      <c r="E39" s="279">
        <f>1545+27595</f>
        <v>29140</v>
      </c>
      <c r="F39" s="279">
        <f>2240+44245</f>
        <v>46485</v>
      </c>
      <c r="G39" s="279">
        <v>64683</v>
      </c>
      <c r="H39" s="279">
        <v>55997</v>
      </c>
      <c r="I39" s="279">
        <v>73535</v>
      </c>
      <c r="J39" s="280">
        <v>69615</v>
      </c>
      <c r="K39" s="280">
        <v>67758</v>
      </c>
      <c r="L39" s="279">
        <v>69322</v>
      </c>
      <c r="M39" s="13">
        <v>56415</v>
      </c>
      <c r="N39" s="13">
        <v>69695</v>
      </c>
      <c r="O39" s="13">
        <v>66228</v>
      </c>
      <c r="P39" s="13">
        <v>430200</v>
      </c>
      <c r="Q39" s="13">
        <f t="shared" si="3"/>
        <v>1099073</v>
      </c>
      <c r="R39" s="113"/>
      <c r="S39" s="23">
        <f t="shared" si="4"/>
        <v>0</v>
      </c>
    </row>
    <row r="40" spans="2:19" s="115" customFormat="1">
      <c r="B40">
        <v>34</v>
      </c>
      <c r="C40" s="132" t="s">
        <v>145</v>
      </c>
      <c r="D40" s="128">
        <f t="shared" si="2"/>
        <v>58026</v>
      </c>
      <c r="E40" s="279"/>
      <c r="F40" s="279">
        <f>428+5380</f>
        <v>5808</v>
      </c>
      <c r="G40" s="279">
        <v>10380</v>
      </c>
      <c r="H40" s="279">
        <v>6820</v>
      </c>
      <c r="I40" s="279">
        <v>4857</v>
      </c>
      <c r="J40" s="280">
        <v>140</v>
      </c>
      <c r="K40" s="280">
        <v>1397</v>
      </c>
      <c r="L40" s="279">
        <v>2552</v>
      </c>
      <c r="M40" s="13">
        <v>7026</v>
      </c>
      <c r="N40" s="13">
        <v>8720</v>
      </c>
      <c r="O40" s="13">
        <v>8447</v>
      </c>
      <c r="P40" s="13">
        <v>1879</v>
      </c>
      <c r="Q40" s="13">
        <f t="shared" si="3"/>
        <v>58026</v>
      </c>
      <c r="R40" s="113"/>
      <c r="S40" s="23">
        <f t="shared" si="4"/>
        <v>0</v>
      </c>
    </row>
    <row r="41" spans="2:19" s="115" customFormat="1">
      <c r="B41">
        <v>35</v>
      </c>
      <c r="C41" s="129" t="s">
        <v>62</v>
      </c>
      <c r="D41" s="130">
        <f t="shared" si="2"/>
        <v>350871</v>
      </c>
      <c r="E41" s="279">
        <f>228+13895</f>
        <v>14123</v>
      </c>
      <c r="F41" s="279">
        <f>318+19651</f>
        <v>19969</v>
      </c>
      <c r="G41" s="279">
        <v>23965</v>
      </c>
      <c r="H41" s="279">
        <v>23300</v>
      </c>
      <c r="I41" s="279">
        <v>29339</v>
      </c>
      <c r="J41" s="280">
        <v>29376</v>
      </c>
      <c r="K41" s="280">
        <v>36684</v>
      </c>
      <c r="L41" s="279">
        <v>39705</v>
      </c>
      <c r="M41" s="13">
        <v>35697</v>
      </c>
      <c r="N41" s="13">
        <v>26862</v>
      </c>
      <c r="O41" s="13">
        <v>34693</v>
      </c>
      <c r="P41" s="13">
        <v>37158</v>
      </c>
      <c r="Q41" s="13">
        <f t="shared" si="3"/>
        <v>350871</v>
      </c>
      <c r="R41" s="113"/>
      <c r="S41" s="23">
        <f t="shared" si="4"/>
        <v>0</v>
      </c>
    </row>
    <row r="42" spans="2:19" s="115" customFormat="1">
      <c r="B42">
        <v>36</v>
      </c>
      <c r="C42" s="132" t="s">
        <v>64</v>
      </c>
      <c r="D42" s="128">
        <f t="shared" si="2"/>
        <v>281050</v>
      </c>
      <c r="E42" s="279">
        <f>375+10011</f>
        <v>10386</v>
      </c>
      <c r="F42" s="279">
        <f>485+13130</f>
        <v>13615</v>
      </c>
      <c r="G42" s="279">
        <v>17326</v>
      </c>
      <c r="H42" s="279">
        <v>16668</v>
      </c>
      <c r="I42" s="279">
        <v>21495</v>
      </c>
      <c r="J42" s="280">
        <v>18951</v>
      </c>
      <c r="K42" s="280">
        <v>20631</v>
      </c>
      <c r="L42" s="279">
        <v>24225</v>
      </c>
      <c r="M42" s="13">
        <v>21415</v>
      </c>
      <c r="N42" s="13">
        <v>23148</v>
      </c>
      <c r="O42" s="13">
        <v>23876</v>
      </c>
      <c r="P42" s="13">
        <v>69314</v>
      </c>
      <c r="Q42" s="13">
        <f t="shared" si="3"/>
        <v>281050</v>
      </c>
      <c r="R42" s="113"/>
      <c r="S42" s="23">
        <f t="shared" si="4"/>
        <v>0</v>
      </c>
    </row>
    <row r="43" spans="2:19" s="115" customFormat="1">
      <c r="B43">
        <v>37</v>
      </c>
      <c r="C43" s="129" t="s">
        <v>161</v>
      </c>
      <c r="D43" s="130">
        <f t="shared" si="2"/>
        <v>111574</v>
      </c>
      <c r="E43" s="279"/>
      <c r="F43" s="279"/>
      <c r="G43" s="279">
        <v>4130</v>
      </c>
      <c r="H43" s="279">
        <v>6490</v>
      </c>
      <c r="I43" s="279">
        <v>7980</v>
      </c>
      <c r="J43" s="280">
        <v>9140</v>
      </c>
      <c r="K43" s="280">
        <v>10524</v>
      </c>
      <c r="L43" s="279">
        <v>11800</v>
      </c>
      <c r="M43" s="13">
        <v>12200</v>
      </c>
      <c r="N43" s="13">
        <v>14050</v>
      </c>
      <c r="O43" s="13">
        <v>16500</v>
      </c>
      <c r="P43" s="13">
        <v>18760</v>
      </c>
      <c r="Q43" s="13">
        <f t="shared" si="3"/>
        <v>111574</v>
      </c>
      <c r="R43" s="113"/>
      <c r="S43" s="23">
        <f t="shared" si="4"/>
        <v>0</v>
      </c>
    </row>
    <row r="44" spans="2:19" s="115" customFormat="1">
      <c r="B44">
        <v>38</v>
      </c>
      <c r="C44" s="132" t="s">
        <v>45</v>
      </c>
      <c r="D44" s="128">
        <f t="shared" si="2"/>
        <v>326768</v>
      </c>
      <c r="E44" s="279">
        <f>270+15605</f>
        <v>15875</v>
      </c>
      <c r="F44" s="279">
        <f>414+22593</f>
        <v>23007</v>
      </c>
      <c r="G44" s="279">
        <v>27512</v>
      </c>
      <c r="H44" s="279">
        <v>21727</v>
      </c>
      <c r="I44" s="279">
        <v>27968</v>
      </c>
      <c r="J44" s="280">
        <v>26517</v>
      </c>
      <c r="K44" s="280">
        <v>27462</v>
      </c>
      <c r="L44" s="279">
        <v>26949</v>
      </c>
      <c r="M44" s="13">
        <v>23412</v>
      </c>
      <c r="N44" s="13">
        <v>24307</v>
      </c>
      <c r="O44" s="13">
        <v>22554</v>
      </c>
      <c r="P44" s="13">
        <v>59478</v>
      </c>
      <c r="Q44" s="13">
        <f t="shared" si="3"/>
        <v>326768</v>
      </c>
      <c r="R44" s="113"/>
      <c r="S44" s="23">
        <f t="shared" si="4"/>
        <v>0</v>
      </c>
    </row>
    <row r="45" spans="2:19" s="115" customFormat="1">
      <c r="B45">
        <v>39</v>
      </c>
      <c r="C45" s="129" t="s">
        <v>162</v>
      </c>
      <c r="D45" s="130">
        <f t="shared" si="2"/>
        <v>241136</v>
      </c>
      <c r="E45" s="279">
        <f>240+6364</f>
        <v>6604</v>
      </c>
      <c r="F45" s="279">
        <f>321+12959</f>
        <v>13280</v>
      </c>
      <c r="G45" s="279">
        <v>20933</v>
      </c>
      <c r="H45" s="279">
        <v>18517</v>
      </c>
      <c r="I45" s="279">
        <v>20258</v>
      </c>
      <c r="J45" s="280">
        <v>19001</v>
      </c>
      <c r="K45" s="280">
        <v>24057</v>
      </c>
      <c r="L45" s="279">
        <v>28316</v>
      </c>
      <c r="M45" s="13">
        <v>22413</v>
      </c>
      <c r="N45" s="13">
        <v>17469</v>
      </c>
      <c r="O45" s="13">
        <v>17234</v>
      </c>
      <c r="P45" s="13">
        <v>33054</v>
      </c>
      <c r="Q45" s="13">
        <f t="shared" si="3"/>
        <v>241136</v>
      </c>
      <c r="R45" s="113"/>
      <c r="S45" s="23">
        <f t="shared" si="4"/>
        <v>0</v>
      </c>
    </row>
    <row r="46" spans="2:19" s="115" customFormat="1">
      <c r="B46">
        <v>40</v>
      </c>
      <c r="C46" s="132" t="s">
        <v>163</v>
      </c>
      <c r="D46" s="128">
        <f>+Q46</f>
        <v>447873</v>
      </c>
      <c r="E46" s="279"/>
      <c r="F46" s="279">
        <f>90+5262</f>
        <v>5352</v>
      </c>
      <c r="G46" s="279">
        <v>26647</v>
      </c>
      <c r="H46" s="279">
        <v>25033</v>
      </c>
      <c r="I46" s="279">
        <v>40801</v>
      </c>
      <c r="J46" s="281">
        <v>43534</v>
      </c>
      <c r="K46" s="281">
        <v>41184</v>
      </c>
      <c r="L46" s="288">
        <v>44975</v>
      </c>
      <c r="M46" s="13">
        <v>40540</v>
      </c>
      <c r="N46" s="13">
        <v>54337</v>
      </c>
      <c r="O46" s="13">
        <v>49398</v>
      </c>
      <c r="P46" s="13">
        <v>76072</v>
      </c>
      <c r="Q46" s="13">
        <f t="shared" si="3"/>
        <v>447873</v>
      </c>
      <c r="R46" s="113"/>
      <c r="S46" s="23">
        <f t="shared" si="4"/>
        <v>0</v>
      </c>
    </row>
    <row r="47" spans="2:19" s="115" customFormat="1">
      <c r="B47">
        <v>41</v>
      </c>
      <c r="C47" s="129" t="s">
        <v>164</v>
      </c>
      <c r="D47" s="130">
        <f>+Q47</f>
        <v>222591</v>
      </c>
      <c r="E47" s="279"/>
      <c r="F47" s="279">
        <f>114+2886</f>
        <v>3000</v>
      </c>
      <c r="G47" s="279">
        <v>18971</v>
      </c>
      <c r="H47" s="279">
        <v>16870</v>
      </c>
      <c r="I47" s="279">
        <v>20920</v>
      </c>
      <c r="J47" s="281">
        <v>21795</v>
      </c>
      <c r="K47" s="281">
        <v>22550</v>
      </c>
      <c r="L47" s="288">
        <v>23000</v>
      </c>
      <c r="M47" s="13">
        <v>22485</v>
      </c>
      <c r="N47" s="13">
        <v>23580</v>
      </c>
      <c r="O47" s="13">
        <v>23310</v>
      </c>
      <c r="P47" s="13">
        <v>26110</v>
      </c>
      <c r="Q47" s="13">
        <f t="shared" si="3"/>
        <v>222591</v>
      </c>
      <c r="R47" s="113"/>
      <c r="S47" s="23">
        <f t="shared" si="4"/>
        <v>0</v>
      </c>
    </row>
    <row r="48" spans="2:19" s="115" customFormat="1">
      <c r="B48">
        <v>42</v>
      </c>
      <c r="C48" s="132" t="s">
        <v>165</v>
      </c>
      <c r="D48" s="128">
        <f>+Q48</f>
        <v>240473</v>
      </c>
      <c r="E48" s="279"/>
      <c r="F48" s="279">
        <f>75+3170</f>
        <v>3245</v>
      </c>
      <c r="G48" s="279">
        <v>17782</v>
      </c>
      <c r="H48" s="279">
        <v>14087</v>
      </c>
      <c r="I48" s="279">
        <v>17939</v>
      </c>
      <c r="J48" s="281">
        <v>17978</v>
      </c>
      <c r="K48" s="281">
        <v>19007</v>
      </c>
      <c r="L48" s="288">
        <v>22088</v>
      </c>
      <c r="M48" s="13">
        <v>21880</v>
      </c>
      <c r="N48" s="13">
        <v>23547</v>
      </c>
      <c r="O48" s="13">
        <v>23074</v>
      </c>
      <c r="P48" s="13">
        <v>59846</v>
      </c>
      <c r="Q48" s="13">
        <f t="shared" si="3"/>
        <v>240473</v>
      </c>
      <c r="R48" s="113"/>
      <c r="S48" s="23">
        <f t="shared" si="4"/>
        <v>0</v>
      </c>
    </row>
    <row r="49" spans="2:19" s="115" customFormat="1">
      <c r="B49">
        <v>43</v>
      </c>
      <c r="C49" s="129" t="s">
        <v>154</v>
      </c>
      <c r="D49" s="130">
        <f>+Q49</f>
        <v>185509</v>
      </c>
      <c r="E49" s="279"/>
      <c r="F49" s="279">
        <f>73+3092</f>
        <v>3165</v>
      </c>
      <c r="G49" s="279">
        <v>15650</v>
      </c>
      <c r="H49" s="279">
        <v>14833</v>
      </c>
      <c r="I49" s="279">
        <v>19153</v>
      </c>
      <c r="J49" s="281">
        <v>17585</v>
      </c>
      <c r="K49" s="281">
        <v>16612</v>
      </c>
      <c r="L49" s="288">
        <v>15736</v>
      </c>
      <c r="M49" s="13">
        <v>13991</v>
      </c>
      <c r="N49" s="13">
        <v>15223</v>
      </c>
      <c r="O49" s="13">
        <v>15946</v>
      </c>
      <c r="P49" s="13">
        <v>37615</v>
      </c>
      <c r="Q49" s="13">
        <f t="shared" si="3"/>
        <v>185509</v>
      </c>
      <c r="R49" s="113"/>
      <c r="S49" s="23">
        <f t="shared" si="4"/>
        <v>0</v>
      </c>
    </row>
    <row r="50" spans="2:19" s="115" customFormat="1">
      <c r="B50">
        <v>44</v>
      </c>
      <c r="C50" s="132" t="s">
        <v>182</v>
      </c>
      <c r="D50" s="128">
        <f>+Q50</f>
        <v>317249</v>
      </c>
      <c r="E50" s="279"/>
      <c r="F50" s="279"/>
      <c r="G50" s="279"/>
      <c r="H50" s="279"/>
      <c r="I50" s="279">
        <v>1689</v>
      </c>
      <c r="J50" s="281">
        <v>29420</v>
      </c>
      <c r="K50" s="281">
        <v>29101</v>
      </c>
      <c r="L50" s="288">
        <v>36749</v>
      </c>
      <c r="M50" s="13">
        <v>39450</v>
      </c>
      <c r="N50" s="13">
        <v>55833</v>
      </c>
      <c r="O50" s="13">
        <v>69900</v>
      </c>
      <c r="P50" s="13">
        <v>55107</v>
      </c>
      <c r="Q50" s="13">
        <f t="shared" si="3"/>
        <v>317249</v>
      </c>
      <c r="R50" s="113"/>
      <c r="S50" s="23">
        <f t="shared" si="4"/>
        <v>0</v>
      </c>
    </row>
    <row r="51" spans="2:19" s="115" customFormat="1">
      <c r="B51">
        <v>45</v>
      </c>
      <c r="C51" s="129" t="s">
        <v>23</v>
      </c>
      <c r="D51" s="130">
        <f t="shared" si="2"/>
        <v>659927</v>
      </c>
      <c r="E51" s="279">
        <f>1788+520+26790</f>
        <v>29098</v>
      </c>
      <c r="F51" s="279">
        <f>2114+668+34702</f>
        <v>37484</v>
      </c>
      <c r="G51" s="279">
        <v>46414</v>
      </c>
      <c r="H51" s="279">
        <v>37992</v>
      </c>
      <c r="I51" s="279">
        <v>52112</v>
      </c>
      <c r="J51" s="280">
        <v>46566</v>
      </c>
      <c r="K51" s="280">
        <v>48466</v>
      </c>
      <c r="L51" s="279">
        <v>49304</v>
      </c>
      <c r="M51" s="13">
        <v>47405</v>
      </c>
      <c r="N51" s="13">
        <v>45485</v>
      </c>
      <c r="O51" s="13">
        <v>49431</v>
      </c>
      <c r="P51" s="13">
        <v>170170</v>
      </c>
      <c r="Q51" s="13">
        <f t="shared" si="3"/>
        <v>659927</v>
      </c>
      <c r="R51" s="113"/>
      <c r="S51" s="23">
        <f t="shared" si="4"/>
        <v>0</v>
      </c>
    </row>
    <row r="52" spans="2:19" s="115" customFormat="1" ht="13.5" customHeight="1">
      <c r="B52">
        <v>46</v>
      </c>
      <c r="C52" s="132" t="s">
        <v>146</v>
      </c>
      <c r="D52" s="128">
        <f t="shared" si="2"/>
        <v>37145</v>
      </c>
      <c r="E52" s="279"/>
      <c r="F52" s="279">
        <f>105+2270</f>
        <v>2375</v>
      </c>
      <c r="G52" s="279">
        <v>10470</v>
      </c>
      <c r="H52" s="279">
        <v>6869</v>
      </c>
      <c r="I52" s="279">
        <v>3535</v>
      </c>
      <c r="J52" s="280">
        <v>1550</v>
      </c>
      <c r="K52" s="280">
        <v>1680</v>
      </c>
      <c r="L52" s="279">
        <v>460</v>
      </c>
      <c r="M52" s="13">
        <v>2640</v>
      </c>
      <c r="N52" s="13">
        <v>3560</v>
      </c>
      <c r="O52" s="13">
        <v>2876</v>
      </c>
      <c r="P52" s="13">
        <v>1130</v>
      </c>
      <c r="Q52" s="13">
        <f t="shared" si="3"/>
        <v>37145</v>
      </c>
      <c r="R52" s="113"/>
      <c r="S52" s="23">
        <f t="shared" si="4"/>
        <v>0</v>
      </c>
    </row>
    <row r="53" spans="2:19" s="115" customFormat="1">
      <c r="B53">
        <v>47</v>
      </c>
      <c r="C53" s="129" t="s">
        <v>65</v>
      </c>
      <c r="D53" s="130">
        <f t="shared" si="2"/>
        <v>73698</v>
      </c>
      <c r="E53" s="279">
        <f>131+4234</f>
        <v>4365</v>
      </c>
      <c r="F53" s="279">
        <f>155+5356</f>
        <v>5511</v>
      </c>
      <c r="G53" s="279">
        <v>6695</v>
      </c>
      <c r="H53" s="279">
        <v>5241</v>
      </c>
      <c r="I53" s="279">
        <v>6452</v>
      </c>
      <c r="J53" s="280">
        <v>6180</v>
      </c>
      <c r="K53" s="280">
        <v>6164</v>
      </c>
      <c r="L53" s="279">
        <v>6707</v>
      </c>
      <c r="M53" s="13">
        <v>6482</v>
      </c>
      <c r="N53" s="13">
        <v>6955</v>
      </c>
      <c r="O53" s="13">
        <v>6640</v>
      </c>
      <c r="P53" s="13">
        <v>6306</v>
      </c>
      <c r="Q53" s="13">
        <f t="shared" si="3"/>
        <v>73698</v>
      </c>
      <c r="R53" s="113"/>
      <c r="S53" s="23">
        <f t="shared" si="4"/>
        <v>0</v>
      </c>
    </row>
    <row r="54" spans="2:19" s="115" customFormat="1">
      <c r="B54">
        <v>48</v>
      </c>
      <c r="C54" s="132" t="s">
        <v>25</v>
      </c>
      <c r="D54" s="128">
        <f t="shared" si="2"/>
        <v>91823</v>
      </c>
      <c r="E54" s="279">
        <f>150+5155</f>
        <v>5305</v>
      </c>
      <c r="F54" s="279">
        <f>190+6550</f>
        <v>6740</v>
      </c>
      <c r="G54" s="279">
        <v>8236</v>
      </c>
      <c r="H54" s="279">
        <v>6500</v>
      </c>
      <c r="I54" s="279">
        <v>7949</v>
      </c>
      <c r="J54" s="280">
        <v>7862</v>
      </c>
      <c r="K54" s="280">
        <v>7675</v>
      </c>
      <c r="L54" s="279">
        <v>8357</v>
      </c>
      <c r="M54" s="13">
        <v>7623</v>
      </c>
      <c r="N54" s="13">
        <v>8037</v>
      </c>
      <c r="O54" s="13">
        <v>7669</v>
      </c>
      <c r="P54" s="13">
        <v>9870</v>
      </c>
      <c r="Q54" s="13">
        <f t="shared" si="3"/>
        <v>91823</v>
      </c>
      <c r="R54" s="113"/>
      <c r="S54" s="23">
        <f t="shared" si="4"/>
        <v>0</v>
      </c>
    </row>
    <row r="55" spans="2:19" s="115" customFormat="1">
      <c r="B55">
        <v>49</v>
      </c>
      <c r="C55" s="129" t="s">
        <v>63</v>
      </c>
      <c r="D55" s="130">
        <f t="shared" si="2"/>
        <v>76132</v>
      </c>
      <c r="E55" s="279">
        <f>120+4292</f>
        <v>4412</v>
      </c>
      <c r="F55" s="279">
        <f>152+5427</f>
        <v>5579</v>
      </c>
      <c r="G55" s="279">
        <v>6813</v>
      </c>
      <c r="H55" s="279">
        <v>5295</v>
      </c>
      <c r="I55" s="279">
        <v>6462</v>
      </c>
      <c r="J55" s="280">
        <v>6368</v>
      </c>
      <c r="K55" s="280">
        <v>6460</v>
      </c>
      <c r="L55" s="279">
        <v>7036</v>
      </c>
      <c r="M55" s="13">
        <v>6397</v>
      </c>
      <c r="N55" s="13">
        <v>7088</v>
      </c>
      <c r="O55" s="13">
        <v>7734</v>
      </c>
      <c r="P55" s="13">
        <v>6488</v>
      </c>
      <c r="Q55" s="13">
        <f t="shared" si="3"/>
        <v>76132</v>
      </c>
      <c r="R55" s="113"/>
      <c r="S55" s="23">
        <f t="shared" si="4"/>
        <v>0</v>
      </c>
    </row>
    <row r="56" spans="2:19" s="115" customFormat="1">
      <c r="B56">
        <v>50</v>
      </c>
      <c r="C56" s="132" t="s">
        <v>24</v>
      </c>
      <c r="D56" s="128">
        <f t="shared" si="2"/>
        <v>432370</v>
      </c>
      <c r="E56" s="279">
        <f>363+14024</f>
        <v>14387</v>
      </c>
      <c r="F56" s="279">
        <f>471+17821</f>
        <v>18292</v>
      </c>
      <c r="G56" s="279">
        <v>22550</v>
      </c>
      <c r="H56" s="279">
        <v>19617</v>
      </c>
      <c r="I56" s="279">
        <v>26131</v>
      </c>
      <c r="J56" s="280">
        <v>26749</v>
      </c>
      <c r="K56" s="280">
        <v>26299</v>
      </c>
      <c r="L56" s="279">
        <v>26792</v>
      </c>
      <c r="M56" s="13">
        <v>27215</v>
      </c>
      <c r="N56" s="13">
        <v>26980</v>
      </c>
      <c r="O56" s="13">
        <v>27649</v>
      </c>
      <c r="P56" s="13">
        <v>169709</v>
      </c>
      <c r="Q56" s="13">
        <f t="shared" si="3"/>
        <v>432370</v>
      </c>
      <c r="R56" s="113"/>
      <c r="S56" s="23">
        <f t="shared" si="4"/>
        <v>0</v>
      </c>
    </row>
    <row r="57" spans="2:19" s="115" customFormat="1">
      <c r="B57">
        <v>51</v>
      </c>
      <c r="C57" s="129" t="s">
        <v>218</v>
      </c>
      <c r="D57" s="130">
        <f>+Q57</f>
        <v>205215</v>
      </c>
      <c r="E57" s="279"/>
      <c r="F57" s="279"/>
      <c r="G57" s="279"/>
      <c r="H57" s="279"/>
      <c r="I57" s="279"/>
      <c r="J57" s="280"/>
      <c r="K57" s="280"/>
      <c r="L57" s="279">
        <v>28872</v>
      </c>
      <c r="M57" s="13">
        <v>24876</v>
      </c>
      <c r="N57" s="13">
        <v>23899</v>
      </c>
      <c r="O57" s="13">
        <v>28409</v>
      </c>
      <c r="P57" s="13">
        <v>99159</v>
      </c>
      <c r="Q57" s="13">
        <f t="shared" si="3"/>
        <v>205215</v>
      </c>
      <c r="R57" s="113"/>
      <c r="S57" s="23">
        <f t="shared" si="4"/>
        <v>0</v>
      </c>
    </row>
    <row r="58" spans="2:19" s="115" customFormat="1">
      <c r="B58">
        <v>52</v>
      </c>
      <c r="C58" s="132" t="s">
        <v>60</v>
      </c>
      <c r="D58" s="128">
        <f t="shared" si="2"/>
        <v>495441</v>
      </c>
      <c r="E58" s="279">
        <f>462+25253</f>
        <v>25715</v>
      </c>
      <c r="F58" s="279">
        <f>570+33566+230</f>
        <v>34366</v>
      </c>
      <c r="G58" s="279">
        <v>40054</v>
      </c>
      <c r="H58" s="279">
        <v>30990</v>
      </c>
      <c r="I58" s="279">
        <v>39139</v>
      </c>
      <c r="J58" s="280">
        <v>38020</v>
      </c>
      <c r="K58" s="280">
        <v>36059</v>
      </c>
      <c r="L58" s="279">
        <v>40954</v>
      </c>
      <c r="M58" s="13">
        <v>39839</v>
      </c>
      <c r="N58" s="13">
        <v>40587</v>
      </c>
      <c r="O58" s="13">
        <v>40684</v>
      </c>
      <c r="P58" s="13">
        <v>89034</v>
      </c>
      <c r="Q58" s="13">
        <f t="shared" si="3"/>
        <v>495441</v>
      </c>
      <c r="R58" s="113"/>
      <c r="S58" s="23">
        <f t="shared" si="4"/>
        <v>0</v>
      </c>
    </row>
    <row r="59" spans="2:19" s="115" customFormat="1">
      <c r="B59">
        <v>53</v>
      </c>
      <c r="C59" s="129" t="s">
        <v>26</v>
      </c>
      <c r="D59" s="130">
        <f t="shared" si="2"/>
        <v>525949</v>
      </c>
      <c r="E59" s="279">
        <f>864+24868</f>
        <v>25732</v>
      </c>
      <c r="F59" s="279">
        <f>1104+32483</f>
        <v>33587</v>
      </c>
      <c r="G59" s="279">
        <v>42761</v>
      </c>
      <c r="H59" s="279">
        <v>33359</v>
      </c>
      <c r="I59" s="279">
        <v>44805</v>
      </c>
      <c r="J59" s="280">
        <v>41375</v>
      </c>
      <c r="K59" s="280">
        <v>39566</v>
      </c>
      <c r="L59" s="279">
        <v>45783</v>
      </c>
      <c r="M59" s="13">
        <v>40332</v>
      </c>
      <c r="N59" s="13">
        <v>41278</v>
      </c>
      <c r="O59" s="13">
        <v>43175</v>
      </c>
      <c r="P59" s="13">
        <v>94196</v>
      </c>
      <c r="Q59" s="13">
        <f t="shared" si="3"/>
        <v>525949</v>
      </c>
      <c r="R59" s="113"/>
      <c r="S59" s="23">
        <f t="shared" si="4"/>
        <v>0</v>
      </c>
    </row>
    <row r="60" spans="2:19" s="115" customFormat="1">
      <c r="B60">
        <v>54</v>
      </c>
      <c r="C60" s="129" t="s">
        <v>229</v>
      </c>
      <c r="D60" s="130">
        <f t="shared" si="2"/>
        <v>95084</v>
      </c>
      <c r="E60" s="279"/>
      <c r="F60" s="279"/>
      <c r="G60" s="279"/>
      <c r="H60" s="279"/>
      <c r="I60" s="279"/>
      <c r="J60" s="280"/>
      <c r="K60" s="280"/>
      <c r="L60" s="279"/>
      <c r="M60" s="13"/>
      <c r="N60" s="13">
        <v>21878</v>
      </c>
      <c r="O60" s="13">
        <v>27461</v>
      </c>
      <c r="P60" s="13">
        <v>45745</v>
      </c>
      <c r="Q60" s="13">
        <f t="shared" si="3"/>
        <v>95084</v>
      </c>
      <c r="R60" s="113"/>
      <c r="S60" s="23">
        <f t="shared" si="4"/>
        <v>0</v>
      </c>
    </row>
    <row r="61" spans="2:19" s="115" customFormat="1">
      <c r="B61">
        <v>55</v>
      </c>
      <c r="C61" s="132" t="s">
        <v>27</v>
      </c>
      <c r="D61" s="128">
        <f t="shared" si="2"/>
        <v>267132</v>
      </c>
      <c r="E61" s="279">
        <f>272+16420</f>
        <v>16692</v>
      </c>
      <c r="F61" s="279">
        <f>340+15989</f>
        <v>16329</v>
      </c>
      <c r="G61" s="279">
        <v>19948</v>
      </c>
      <c r="H61" s="279">
        <v>15376</v>
      </c>
      <c r="I61" s="279">
        <v>19332</v>
      </c>
      <c r="J61" s="280">
        <v>17603</v>
      </c>
      <c r="K61" s="280">
        <v>17687</v>
      </c>
      <c r="L61" s="279">
        <v>18596</v>
      </c>
      <c r="M61" s="13">
        <v>19053</v>
      </c>
      <c r="N61" s="13">
        <v>26348</v>
      </c>
      <c r="O61" s="13">
        <v>25140</v>
      </c>
      <c r="P61" s="13">
        <v>55028</v>
      </c>
      <c r="Q61" s="13">
        <f t="shared" si="3"/>
        <v>267132</v>
      </c>
      <c r="R61" s="113"/>
      <c r="S61" s="23">
        <f t="shared" si="4"/>
        <v>0</v>
      </c>
    </row>
    <row r="62" spans="2:19" s="115" customFormat="1">
      <c r="B62">
        <v>56</v>
      </c>
      <c r="C62" s="129" t="s">
        <v>166</v>
      </c>
      <c r="D62" s="130">
        <f t="shared" si="2"/>
        <v>94270</v>
      </c>
      <c r="E62" s="279"/>
      <c r="F62" s="279"/>
      <c r="G62" s="279"/>
      <c r="H62" s="279">
        <v>7210</v>
      </c>
      <c r="I62" s="279">
        <v>11000</v>
      </c>
      <c r="J62" s="280">
        <v>9000</v>
      </c>
      <c r="K62" s="280">
        <v>10500</v>
      </c>
      <c r="L62" s="279">
        <v>11750</v>
      </c>
      <c r="M62" s="13">
        <v>10510</v>
      </c>
      <c r="N62" s="13">
        <v>10800</v>
      </c>
      <c r="O62" s="13">
        <v>10500</v>
      </c>
      <c r="P62" s="13">
        <v>13000</v>
      </c>
      <c r="Q62" s="13">
        <f t="shared" si="3"/>
        <v>94270</v>
      </c>
      <c r="R62" s="113"/>
      <c r="S62" s="23">
        <f t="shared" si="4"/>
        <v>0</v>
      </c>
    </row>
    <row r="63" spans="2:19" s="115" customFormat="1">
      <c r="B63">
        <v>57</v>
      </c>
      <c r="C63" s="132" t="s">
        <v>35</v>
      </c>
      <c r="D63" s="128">
        <f t="shared" si="2"/>
        <v>288153</v>
      </c>
      <c r="E63" s="279">
        <f>225+16451</f>
        <v>16676</v>
      </c>
      <c r="F63" s="279">
        <f>285+24072</f>
        <v>24357</v>
      </c>
      <c r="G63" s="279">
        <v>30167</v>
      </c>
      <c r="H63" s="279">
        <v>17155</v>
      </c>
      <c r="I63" s="279">
        <v>28800</v>
      </c>
      <c r="J63" s="280">
        <v>20857</v>
      </c>
      <c r="K63" s="280">
        <v>18727</v>
      </c>
      <c r="L63" s="279">
        <v>18581</v>
      </c>
      <c r="M63" s="13">
        <v>18037</v>
      </c>
      <c r="N63" s="13">
        <v>18196</v>
      </c>
      <c r="O63" s="13">
        <v>17616</v>
      </c>
      <c r="P63" s="13">
        <v>58984</v>
      </c>
      <c r="Q63" s="13">
        <f t="shared" si="3"/>
        <v>288153</v>
      </c>
      <c r="R63" s="113"/>
      <c r="S63" s="23">
        <f t="shared" si="4"/>
        <v>0</v>
      </c>
    </row>
    <row r="64" spans="2:19" s="115" customFormat="1">
      <c r="B64">
        <v>58</v>
      </c>
      <c r="C64" s="129" t="s">
        <v>44</v>
      </c>
      <c r="D64" s="130">
        <f t="shared" si="2"/>
        <v>222723</v>
      </c>
      <c r="E64" s="279">
        <f>475+9728</f>
        <v>10203</v>
      </c>
      <c r="F64" s="279">
        <f>552+14353</f>
        <v>14905</v>
      </c>
      <c r="G64" s="279">
        <v>19800</v>
      </c>
      <c r="H64" s="279">
        <v>18839</v>
      </c>
      <c r="I64" s="279">
        <v>21285</v>
      </c>
      <c r="J64" s="280">
        <v>22101</v>
      </c>
      <c r="K64" s="280">
        <v>15365</v>
      </c>
      <c r="L64" s="279">
        <v>14755</v>
      </c>
      <c r="M64" s="13">
        <v>11671</v>
      </c>
      <c r="N64" s="13">
        <v>11780</v>
      </c>
      <c r="O64" s="13">
        <v>12590</v>
      </c>
      <c r="P64" s="13">
        <v>49429</v>
      </c>
      <c r="Q64" s="13">
        <f t="shared" si="3"/>
        <v>222723</v>
      </c>
      <c r="R64" s="113"/>
      <c r="S64" s="23">
        <f t="shared" si="4"/>
        <v>0</v>
      </c>
    </row>
    <row r="65" spans="2:19" s="115" customFormat="1">
      <c r="B65">
        <v>59</v>
      </c>
      <c r="C65" s="132" t="s">
        <v>61</v>
      </c>
      <c r="D65" s="128">
        <f t="shared" si="2"/>
        <v>330108</v>
      </c>
      <c r="E65" s="279">
        <f>340+28715</f>
        <v>29055</v>
      </c>
      <c r="F65" s="279">
        <f>494+30295</f>
        <v>30789</v>
      </c>
      <c r="G65" s="279">
        <v>34183</v>
      </c>
      <c r="H65" s="279">
        <v>28490</v>
      </c>
      <c r="I65" s="279">
        <v>30761</v>
      </c>
      <c r="J65" s="280">
        <v>24081</v>
      </c>
      <c r="K65" s="280">
        <v>22069</v>
      </c>
      <c r="L65" s="279">
        <v>22403</v>
      </c>
      <c r="M65" s="13">
        <v>22565</v>
      </c>
      <c r="N65" s="13">
        <v>24664</v>
      </c>
      <c r="O65" s="13">
        <v>23474</v>
      </c>
      <c r="P65" s="13">
        <v>37574</v>
      </c>
      <c r="Q65" s="13">
        <f t="shared" si="3"/>
        <v>330108</v>
      </c>
      <c r="R65" s="113"/>
      <c r="S65" s="23">
        <f t="shared" si="4"/>
        <v>0</v>
      </c>
    </row>
    <row r="66" spans="2:19" s="115" customFormat="1">
      <c r="B66">
        <v>60</v>
      </c>
      <c r="C66" s="129" t="s">
        <v>41</v>
      </c>
      <c r="D66" s="130">
        <f t="shared" si="2"/>
        <v>199294</v>
      </c>
      <c r="E66" s="279">
        <f>480+7105</f>
        <v>7585</v>
      </c>
      <c r="F66" s="279">
        <f>608+9833</f>
        <v>10441</v>
      </c>
      <c r="G66" s="279">
        <v>12563</v>
      </c>
      <c r="H66" s="279">
        <v>11173</v>
      </c>
      <c r="I66" s="279">
        <v>14107</v>
      </c>
      <c r="J66" s="280">
        <v>15081</v>
      </c>
      <c r="K66" s="280">
        <v>16117</v>
      </c>
      <c r="L66" s="279">
        <v>15029</v>
      </c>
      <c r="M66" s="13">
        <v>15166</v>
      </c>
      <c r="N66" s="13">
        <v>15065</v>
      </c>
      <c r="O66" s="13">
        <v>15954</v>
      </c>
      <c r="P66" s="13">
        <v>51013</v>
      </c>
      <c r="Q66" s="13">
        <f t="shared" si="3"/>
        <v>199294</v>
      </c>
      <c r="R66" s="113"/>
      <c r="S66" s="23">
        <f t="shared" si="4"/>
        <v>0</v>
      </c>
    </row>
    <row r="67" spans="2:19" s="115" customFormat="1">
      <c r="B67">
        <v>61</v>
      </c>
      <c r="C67" s="132" t="s">
        <v>30</v>
      </c>
      <c r="D67" s="128">
        <f t="shared" si="2"/>
        <v>424047</v>
      </c>
      <c r="E67" s="279">
        <f>241+22040</f>
        <v>22281</v>
      </c>
      <c r="F67" s="279">
        <f>322+29233</f>
        <v>29555</v>
      </c>
      <c r="G67" s="279">
        <v>34841</v>
      </c>
      <c r="H67" s="279">
        <v>28520</v>
      </c>
      <c r="I67" s="279">
        <v>34187</v>
      </c>
      <c r="J67" s="280">
        <v>36438</v>
      </c>
      <c r="K67" s="280">
        <v>34248</v>
      </c>
      <c r="L67" s="279">
        <v>38465</v>
      </c>
      <c r="M67" s="13">
        <v>39597</v>
      </c>
      <c r="N67" s="13">
        <v>36627</v>
      </c>
      <c r="O67" s="13">
        <v>39289</v>
      </c>
      <c r="P67" s="13">
        <v>49999</v>
      </c>
      <c r="Q67" s="13">
        <f t="shared" si="3"/>
        <v>424047</v>
      </c>
      <c r="R67" s="113"/>
      <c r="S67" s="23">
        <f t="shared" si="4"/>
        <v>0</v>
      </c>
    </row>
    <row r="68" spans="2:19" s="115" customFormat="1">
      <c r="B68">
        <v>62</v>
      </c>
      <c r="C68" s="132" t="s">
        <v>232</v>
      </c>
      <c r="D68" s="128">
        <f>+Q68</f>
        <v>5453</v>
      </c>
      <c r="E68" s="279"/>
      <c r="F68" s="279"/>
      <c r="G68" s="279"/>
      <c r="H68" s="279"/>
      <c r="I68" s="279"/>
      <c r="J68" s="281"/>
      <c r="K68" s="281"/>
      <c r="L68" s="288"/>
      <c r="M68" s="14"/>
      <c r="N68" s="14"/>
      <c r="O68" s="14">
        <v>3207</v>
      </c>
      <c r="P68" s="13">
        <v>2246</v>
      </c>
      <c r="Q68" s="13">
        <f t="shared" si="3"/>
        <v>5453</v>
      </c>
      <c r="R68" s="113"/>
      <c r="S68" s="23"/>
    </row>
    <row r="69" spans="2:19" s="115" customFormat="1">
      <c r="B69">
        <v>63</v>
      </c>
      <c r="C69" s="129" t="s">
        <v>28</v>
      </c>
      <c r="D69" s="130">
        <f t="shared" si="2"/>
        <v>489933</v>
      </c>
      <c r="E69" s="279">
        <f>476+16179+1000</f>
        <v>17655</v>
      </c>
      <c r="F69" s="279">
        <f>597+24089</f>
        <v>24686</v>
      </c>
      <c r="G69" s="279">
        <v>36313</v>
      </c>
      <c r="H69" s="279">
        <v>27569</v>
      </c>
      <c r="I69" s="279">
        <v>38227</v>
      </c>
      <c r="J69" s="280">
        <v>29741</v>
      </c>
      <c r="K69" s="280">
        <v>33844</v>
      </c>
      <c r="L69" s="279">
        <v>30072</v>
      </c>
      <c r="M69" s="13">
        <v>32568</v>
      </c>
      <c r="N69" s="13">
        <v>33493</v>
      </c>
      <c r="O69" s="13">
        <v>32451</v>
      </c>
      <c r="P69" s="13">
        <v>153314</v>
      </c>
      <c r="Q69" s="13">
        <f t="shared" si="3"/>
        <v>489933</v>
      </c>
      <c r="R69" s="113"/>
      <c r="S69" s="23">
        <f t="shared" si="4"/>
        <v>0</v>
      </c>
    </row>
    <row r="70" spans="2:19" s="115" customFormat="1">
      <c r="B70">
        <v>64</v>
      </c>
      <c r="C70" s="132" t="s">
        <v>184</v>
      </c>
      <c r="D70" s="128">
        <f t="shared" si="2"/>
        <v>154936</v>
      </c>
      <c r="E70" s="279"/>
      <c r="F70" s="279"/>
      <c r="G70" s="279"/>
      <c r="H70" s="279"/>
      <c r="I70" s="279"/>
      <c r="J70" s="280">
        <v>5105</v>
      </c>
      <c r="K70" s="280">
        <v>18254</v>
      </c>
      <c r="L70" s="279">
        <v>18905</v>
      </c>
      <c r="M70" s="13">
        <v>18955</v>
      </c>
      <c r="N70" s="13">
        <v>27579</v>
      </c>
      <c r="O70" s="13">
        <v>26054</v>
      </c>
      <c r="P70" s="13">
        <v>40084</v>
      </c>
      <c r="Q70" s="13">
        <f t="shared" si="3"/>
        <v>154936</v>
      </c>
      <c r="R70" s="113"/>
      <c r="S70" s="23">
        <f t="shared" si="4"/>
        <v>0</v>
      </c>
    </row>
    <row r="71" spans="2:19" s="115" customFormat="1">
      <c r="B71">
        <v>65</v>
      </c>
      <c r="C71" s="129" t="s">
        <v>34</v>
      </c>
      <c r="D71" s="130">
        <f t="shared" si="2"/>
        <v>386535</v>
      </c>
      <c r="E71" s="279">
        <f>225+16021</f>
        <v>16246</v>
      </c>
      <c r="F71" s="279">
        <f>285+20929</f>
        <v>21214</v>
      </c>
      <c r="G71" s="279">
        <v>28297</v>
      </c>
      <c r="H71" s="279">
        <v>21928</v>
      </c>
      <c r="I71" s="279">
        <v>31295</v>
      </c>
      <c r="J71" s="289">
        <v>27541</v>
      </c>
      <c r="K71" s="289">
        <v>31327</v>
      </c>
      <c r="L71" s="290">
        <v>32347</v>
      </c>
      <c r="M71" s="13">
        <v>29880</v>
      </c>
      <c r="N71" s="13">
        <v>34597</v>
      </c>
      <c r="O71" s="13">
        <v>34241</v>
      </c>
      <c r="P71" s="13">
        <v>77622</v>
      </c>
      <c r="Q71" s="13">
        <f t="shared" si="3"/>
        <v>386535</v>
      </c>
      <c r="R71" s="113"/>
      <c r="S71" s="23">
        <f t="shared" si="4"/>
        <v>0</v>
      </c>
    </row>
    <row r="72" spans="2:19" s="115" customFormat="1">
      <c r="B72">
        <v>66</v>
      </c>
      <c r="C72" s="132" t="s">
        <v>29</v>
      </c>
      <c r="D72" s="128">
        <f t="shared" si="2"/>
        <v>479888</v>
      </c>
      <c r="E72" s="279">
        <f>270+13982</f>
        <v>14252</v>
      </c>
      <c r="F72" s="279">
        <f>392+21010</f>
        <v>21402</v>
      </c>
      <c r="G72" s="279">
        <v>28989</v>
      </c>
      <c r="H72" s="279">
        <v>23266</v>
      </c>
      <c r="I72" s="279">
        <v>30467</v>
      </c>
      <c r="J72" s="280">
        <v>32503</v>
      </c>
      <c r="K72" s="280">
        <v>36951</v>
      </c>
      <c r="L72" s="279">
        <v>42136</v>
      </c>
      <c r="M72" s="13">
        <v>39838</v>
      </c>
      <c r="N72" s="13">
        <v>40943</v>
      </c>
      <c r="O72" s="13">
        <v>40696</v>
      </c>
      <c r="P72" s="13">
        <v>128445</v>
      </c>
      <c r="Q72" s="13">
        <f t="shared" ref="Q72:Q90" si="6">SUM(E72:P72)</f>
        <v>479888</v>
      </c>
      <c r="R72" s="113"/>
      <c r="S72" s="23">
        <f t="shared" si="4"/>
        <v>0</v>
      </c>
    </row>
    <row r="73" spans="2:19" s="115" customFormat="1">
      <c r="B73">
        <v>67</v>
      </c>
      <c r="C73" s="129" t="s">
        <v>38</v>
      </c>
      <c r="D73" s="130">
        <f t="shared" si="2"/>
        <v>701352</v>
      </c>
      <c r="E73" s="279">
        <f>407+28559</f>
        <v>28966</v>
      </c>
      <c r="F73" s="279">
        <f>495+38853+600</f>
        <v>39948</v>
      </c>
      <c r="G73" s="279">
        <v>50731</v>
      </c>
      <c r="H73" s="279">
        <v>38612</v>
      </c>
      <c r="I73" s="279">
        <v>49477</v>
      </c>
      <c r="J73" s="280">
        <v>45114</v>
      </c>
      <c r="K73" s="280">
        <v>46458</v>
      </c>
      <c r="L73" s="279">
        <v>49101</v>
      </c>
      <c r="M73" s="13">
        <v>51740</v>
      </c>
      <c r="N73" s="13">
        <v>46675</v>
      </c>
      <c r="O73" s="13">
        <v>46800</v>
      </c>
      <c r="P73" s="13">
        <v>207730</v>
      </c>
      <c r="Q73" s="13">
        <f t="shared" si="6"/>
        <v>701352</v>
      </c>
      <c r="R73" s="113"/>
      <c r="S73" s="23">
        <f t="shared" ref="S73:S90" si="7">+Q73*R73</f>
        <v>0</v>
      </c>
    </row>
    <row r="74" spans="2:19" s="115" customFormat="1">
      <c r="B74">
        <v>68</v>
      </c>
      <c r="C74" s="132" t="s">
        <v>167</v>
      </c>
      <c r="D74" s="128">
        <f>Q74</f>
        <v>61974</v>
      </c>
      <c r="E74" s="279"/>
      <c r="F74" s="279">
        <f>259+1517</f>
        <v>1776</v>
      </c>
      <c r="G74" s="279">
        <v>21464</v>
      </c>
      <c r="H74" s="279">
        <v>12900</v>
      </c>
      <c r="I74" s="279">
        <v>740</v>
      </c>
      <c r="J74" s="280">
        <v>1602</v>
      </c>
      <c r="K74" s="280">
        <v>300</v>
      </c>
      <c r="L74" s="279">
        <v>220</v>
      </c>
      <c r="M74" s="13">
        <v>0</v>
      </c>
      <c r="N74" s="13">
        <v>9026</v>
      </c>
      <c r="O74" s="13">
        <v>12211</v>
      </c>
      <c r="P74" s="13">
        <v>1735</v>
      </c>
      <c r="Q74" s="13">
        <f t="shared" si="6"/>
        <v>61974</v>
      </c>
      <c r="R74" s="113"/>
      <c r="S74" s="23">
        <f t="shared" si="7"/>
        <v>0</v>
      </c>
    </row>
    <row r="75" spans="2:19" s="115" customFormat="1">
      <c r="B75">
        <v>69</v>
      </c>
      <c r="C75" s="129" t="s">
        <v>40</v>
      </c>
      <c r="D75" s="130">
        <f>+Q75</f>
        <v>574124</v>
      </c>
      <c r="E75" s="279">
        <f>448+19927</f>
        <v>20375</v>
      </c>
      <c r="F75" s="279">
        <f>608+35699+200</f>
        <v>36507</v>
      </c>
      <c r="G75" s="279">
        <v>43218</v>
      </c>
      <c r="H75" s="279">
        <v>33145</v>
      </c>
      <c r="I75" s="279">
        <v>41690</v>
      </c>
      <c r="J75" s="280">
        <v>47793</v>
      </c>
      <c r="K75" s="280">
        <v>50985</v>
      </c>
      <c r="L75" s="279">
        <v>51357</v>
      </c>
      <c r="M75" s="13">
        <v>49881</v>
      </c>
      <c r="N75" s="13">
        <v>55115</v>
      </c>
      <c r="O75" s="13">
        <v>66720</v>
      </c>
      <c r="P75" s="13">
        <v>77338</v>
      </c>
      <c r="Q75" s="13">
        <f t="shared" si="6"/>
        <v>574124</v>
      </c>
      <c r="R75" s="113"/>
      <c r="S75" s="23">
        <f t="shared" si="7"/>
        <v>0</v>
      </c>
    </row>
    <row r="76" spans="2:19" s="115" customFormat="1">
      <c r="B76">
        <v>70</v>
      </c>
      <c r="C76" s="132" t="s">
        <v>225</v>
      </c>
      <c r="D76" s="128">
        <f>+Q76</f>
        <v>200933</v>
      </c>
      <c r="E76" s="279"/>
      <c r="F76" s="279"/>
      <c r="G76" s="279"/>
      <c r="H76" s="279"/>
      <c r="I76" s="279"/>
      <c r="J76" s="280"/>
      <c r="K76" s="280"/>
      <c r="L76" s="279"/>
      <c r="M76" s="13">
        <v>32785</v>
      </c>
      <c r="N76" s="13">
        <v>80759</v>
      </c>
      <c r="O76" s="13">
        <v>78691</v>
      </c>
      <c r="P76" s="13">
        <v>8698</v>
      </c>
      <c r="Q76" s="13">
        <f t="shared" si="6"/>
        <v>200933</v>
      </c>
      <c r="R76" s="113"/>
      <c r="S76" s="23">
        <f t="shared" si="7"/>
        <v>0</v>
      </c>
    </row>
    <row r="77" spans="2:19" s="115" customFormat="1">
      <c r="B77">
        <v>71</v>
      </c>
      <c r="C77" s="132" t="s">
        <v>143</v>
      </c>
      <c r="D77" s="128">
        <f t="shared" si="2"/>
        <v>444759</v>
      </c>
      <c r="E77" s="279">
        <f>220+20369</f>
        <v>20589</v>
      </c>
      <c r="F77" s="279">
        <f>278+26967</f>
        <v>27245</v>
      </c>
      <c r="G77" s="279">
        <v>34569</v>
      </c>
      <c r="H77" s="279">
        <v>30370</v>
      </c>
      <c r="I77" s="279">
        <v>35919</v>
      </c>
      <c r="J77" s="280">
        <v>32869</v>
      </c>
      <c r="K77" s="280">
        <v>33510</v>
      </c>
      <c r="L77" s="279">
        <v>33050</v>
      </c>
      <c r="M77" s="13">
        <v>29645</v>
      </c>
      <c r="N77" s="13">
        <v>31640</v>
      </c>
      <c r="O77" s="13">
        <v>33719</v>
      </c>
      <c r="P77" s="13">
        <v>101634</v>
      </c>
      <c r="Q77" s="13">
        <f t="shared" si="6"/>
        <v>444759</v>
      </c>
      <c r="R77" s="113"/>
      <c r="S77" s="23">
        <f t="shared" si="7"/>
        <v>0</v>
      </c>
    </row>
    <row r="78" spans="2:19" s="115" customFormat="1">
      <c r="B78">
        <v>72</v>
      </c>
      <c r="C78" s="129" t="s">
        <v>31</v>
      </c>
      <c r="D78" s="130">
        <f t="shared" si="2"/>
        <v>539018</v>
      </c>
      <c r="E78" s="279">
        <f>363+19034</f>
        <v>19397</v>
      </c>
      <c r="F78" s="279">
        <f>484+26680</f>
        <v>27164</v>
      </c>
      <c r="G78" s="279">
        <v>33369</v>
      </c>
      <c r="H78" s="279">
        <v>27240</v>
      </c>
      <c r="I78" s="279">
        <v>34466</v>
      </c>
      <c r="J78" s="280">
        <v>35134</v>
      </c>
      <c r="K78" s="280">
        <v>39428</v>
      </c>
      <c r="L78" s="279">
        <v>39995</v>
      </c>
      <c r="M78" s="13">
        <v>42477</v>
      </c>
      <c r="N78" s="13">
        <v>42980</v>
      </c>
      <c r="O78" s="13">
        <v>42324</v>
      </c>
      <c r="P78" s="13">
        <v>155044</v>
      </c>
      <c r="Q78" s="13">
        <f t="shared" si="6"/>
        <v>539018</v>
      </c>
      <c r="R78" s="113"/>
      <c r="S78" s="23">
        <f t="shared" si="7"/>
        <v>0</v>
      </c>
    </row>
    <row r="79" spans="2:19" s="115" customFormat="1">
      <c r="B79">
        <v>73</v>
      </c>
      <c r="C79" s="132" t="s">
        <v>32</v>
      </c>
      <c r="D79" s="128">
        <f t="shared" si="2"/>
        <v>291466</v>
      </c>
      <c r="E79" s="279">
        <f>510+11663</f>
        <v>12173</v>
      </c>
      <c r="F79" s="279">
        <f>646+16064</f>
        <v>16710</v>
      </c>
      <c r="G79" s="279">
        <v>20199</v>
      </c>
      <c r="H79" s="279">
        <v>16392</v>
      </c>
      <c r="I79" s="279">
        <v>21680</v>
      </c>
      <c r="J79" s="280">
        <v>21117</v>
      </c>
      <c r="K79" s="280">
        <v>21126</v>
      </c>
      <c r="L79" s="279">
        <v>21932</v>
      </c>
      <c r="M79" s="13">
        <v>21707</v>
      </c>
      <c r="N79" s="13">
        <v>22824</v>
      </c>
      <c r="O79" s="13">
        <v>21569</v>
      </c>
      <c r="P79" s="13">
        <v>74037</v>
      </c>
      <c r="Q79" s="13">
        <f t="shared" si="6"/>
        <v>291466</v>
      </c>
      <c r="R79" s="113"/>
      <c r="S79" s="23">
        <f t="shared" si="7"/>
        <v>0</v>
      </c>
    </row>
    <row r="80" spans="2:19" s="115" customFormat="1">
      <c r="B80">
        <v>74</v>
      </c>
      <c r="C80" s="129" t="s">
        <v>33</v>
      </c>
      <c r="D80" s="130">
        <f t="shared" si="2"/>
        <v>494412</v>
      </c>
      <c r="E80" s="279">
        <f>343+23204</f>
        <v>23547</v>
      </c>
      <c r="F80" s="279">
        <f>415+31062+100</f>
        <v>31577</v>
      </c>
      <c r="G80" s="279">
        <v>41436</v>
      </c>
      <c r="H80" s="279">
        <v>30471</v>
      </c>
      <c r="I80" s="279">
        <v>37776</v>
      </c>
      <c r="J80" s="280">
        <v>35224</v>
      </c>
      <c r="K80" s="280">
        <v>36673</v>
      </c>
      <c r="L80" s="279">
        <v>38109</v>
      </c>
      <c r="M80" s="13">
        <v>36936</v>
      </c>
      <c r="N80" s="13">
        <v>38574</v>
      </c>
      <c r="O80" s="13">
        <v>34221</v>
      </c>
      <c r="P80" s="13">
        <v>109868</v>
      </c>
      <c r="Q80" s="13">
        <f t="shared" si="6"/>
        <v>494412</v>
      </c>
      <c r="R80" s="113"/>
      <c r="S80" s="23">
        <f t="shared" si="7"/>
        <v>0</v>
      </c>
    </row>
    <row r="81" spans="2:20" s="115" customFormat="1">
      <c r="B81">
        <v>75</v>
      </c>
      <c r="C81" s="132" t="s">
        <v>222</v>
      </c>
      <c r="D81" s="128">
        <f t="shared" si="2"/>
        <v>365964</v>
      </c>
      <c r="E81" s="279"/>
      <c r="F81" s="279"/>
      <c r="G81" s="279"/>
      <c r="H81" s="279"/>
      <c r="I81" s="279">
        <v>11935</v>
      </c>
      <c r="J81" s="280">
        <v>29906</v>
      </c>
      <c r="K81" s="280">
        <v>32747</v>
      </c>
      <c r="L81" s="279">
        <v>42670</v>
      </c>
      <c r="M81" s="13">
        <v>44108</v>
      </c>
      <c r="N81" s="13">
        <v>50260</v>
      </c>
      <c r="O81" s="13">
        <v>48859</v>
      </c>
      <c r="P81" s="13">
        <v>105479</v>
      </c>
      <c r="Q81" s="13">
        <f t="shared" si="6"/>
        <v>365964</v>
      </c>
      <c r="R81" s="113"/>
      <c r="S81" s="23">
        <f t="shared" si="7"/>
        <v>0</v>
      </c>
    </row>
    <row r="82" spans="2:20" s="115" customFormat="1">
      <c r="B82">
        <v>76</v>
      </c>
      <c r="C82" s="129" t="s">
        <v>148</v>
      </c>
      <c r="D82" s="130">
        <f t="shared" si="2"/>
        <v>341227</v>
      </c>
      <c r="E82" s="279">
        <f>300+18102</f>
        <v>18402</v>
      </c>
      <c r="F82" s="279">
        <f>380+24540</f>
        <v>24920</v>
      </c>
      <c r="G82" s="279">
        <v>30178</v>
      </c>
      <c r="H82" s="279">
        <v>23689</v>
      </c>
      <c r="I82" s="279">
        <v>29810</v>
      </c>
      <c r="J82" s="280">
        <v>28105</v>
      </c>
      <c r="K82" s="280">
        <v>28163</v>
      </c>
      <c r="L82" s="279">
        <v>28640</v>
      </c>
      <c r="M82" s="13">
        <v>28510</v>
      </c>
      <c r="N82" s="13">
        <v>30145</v>
      </c>
      <c r="O82" s="13">
        <v>29243</v>
      </c>
      <c r="P82" s="13">
        <v>41422</v>
      </c>
      <c r="Q82" s="13">
        <f t="shared" si="6"/>
        <v>341227</v>
      </c>
      <c r="R82" s="113"/>
      <c r="S82" s="23">
        <f t="shared" si="7"/>
        <v>0</v>
      </c>
    </row>
    <row r="83" spans="2:20" s="115" customFormat="1">
      <c r="B83">
        <v>77</v>
      </c>
      <c r="C83" s="132" t="s">
        <v>39</v>
      </c>
      <c r="D83" s="128">
        <f t="shared" si="2"/>
        <v>426933</v>
      </c>
      <c r="E83" s="279">
        <f>300+18014</f>
        <v>18314</v>
      </c>
      <c r="F83" s="279">
        <f>380+23881</f>
        <v>24261</v>
      </c>
      <c r="G83" s="279">
        <v>34402</v>
      </c>
      <c r="H83" s="279">
        <v>30275</v>
      </c>
      <c r="I83" s="279">
        <v>37606</v>
      </c>
      <c r="J83" s="280">
        <v>34320</v>
      </c>
      <c r="K83" s="280">
        <v>36039</v>
      </c>
      <c r="L83" s="279">
        <v>36373</v>
      </c>
      <c r="M83" s="13">
        <v>33458</v>
      </c>
      <c r="N83" s="13">
        <v>32279</v>
      </c>
      <c r="O83" s="13">
        <v>31481</v>
      </c>
      <c r="P83" s="13">
        <v>78125</v>
      </c>
      <c r="Q83" s="13">
        <f t="shared" si="6"/>
        <v>426933</v>
      </c>
      <c r="R83" s="113"/>
      <c r="S83" s="23">
        <f t="shared" si="7"/>
        <v>0</v>
      </c>
    </row>
    <row r="84" spans="2:20" s="115" customFormat="1">
      <c r="B84">
        <v>78</v>
      </c>
      <c r="C84" s="129" t="s">
        <v>36</v>
      </c>
      <c r="D84" s="130">
        <f t="shared" si="2"/>
        <v>230496</v>
      </c>
      <c r="E84" s="279">
        <f>470+8703</f>
        <v>9173</v>
      </c>
      <c r="F84" s="279">
        <f>666+10920+300</f>
        <v>11886</v>
      </c>
      <c r="G84" s="279">
        <v>13834</v>
      </c>
      <c r="H84" s="279">
        <v>10890</v>
      </c>
      <c r="I84" s="279">
        <v>15409</v>
      </c>
      <c r="J84" s="280">
        <v>11293</v>
      </c>
      <c r="K84" s="280">
        <v>12772</v>
      </c>
      <c r="L84" s="279">
        <v>14471</v>
      </c>
      <c r="M84" s="13">
        <v>13906</v>
      </c>
      <c r="N84" s="13">
        <v>15757</v>
      </c>
      <c r="O84" s="13">
        <v>12342</v>
      </c>
      <c r="P84" s="13">
        <v>88763</v>
      </c>
      <c r="Q84" s="13">
        <f t="shared" si="6"/>
        <v>230496</v>
      </c>
      <c r="R84" s="113"/>
      <c r="S84" s="23">
        <f t="shared" si="7"/>
        <v>0</v>
      </c>
    </row>
    <row r="85" spans="2:20" s="115" customFormat="1">
      <c r="B85">
        <v>79</v>
      </c>
      <c r="C85" s="132" t="s">
        <v>74</v>
      </c>
      <c r="D85" s="128">
        <f t="shared" si="2"/>
        <v>471229</v>
      </c>
      <c r="E85" s="279">
        <f>195+17667</f>
        <v>17862</v>
      </c>
      <c r="F85" s="279">
        <f>212+21748</f>
        <v>21960</v>
      </c>
      <c r="G85" s="279">
        <v>30306</v>
      </c>
      <c r="H85" s="279">
        <v>21627</v>
      </c>
      <c r="I85" s="279">
        <v>29304</v>
      </c>
      <c r="J85" s="280">
        <v>25986</v>
      </c>
      <c r="K85" s="280">
        <v>28420</v>
      </c>
      <c r="L85" s="279">
        <v>32231</v>
      </c>
      <c r="M85" s="13">
        <v>28578</v>
      </c>
      <c r="N85" s="13">
        <v>28902</v>
      </c>
      <c r="O85" s="13">
        <v>31527</v>
      </c>
      <c r="P85" s="13">
        <v>174526</v>
      </c>
      <c r="Q85" s="13">
        <f t="shared" si="6"/>
        <v>471229</v>
      </c>
      <c r="R85" s="113"/>
      <c r="S85" s="23">
        <f t="shared" si="7"/>
        <v>0</v>
      </c>
    </row>
    <row r="86" spans="2:20" s="115" customFormat="1">
      <c r="B86">
        <v>80</v>
      </c>
      <c r="C86" s="129" t="s">
        <v>37</v>
      </c>
      <c r="D86" s="130">
        <f t="shared" si="2"/>
        <v>527480</v>
      </c>
      <c r="E86" s="279">
        <f>495+23245</f>
        <v>23740</v>
      </c>
      <c r="F86" s="279">
        <f>627+30081</f>
        <v>30708</v>
      </c>
      <c r="G86" s="279">
        <v>38226</v>
      </c>
      <c r="H86" s="279">
        <v>30778</v>
      </c>
      <c r="I86" s="279">
        <v>42380</v>
      </c>
      <c r="J86" s="280">
        <v>37996</v>
      </c>
      <c r="K86" s="280">
        <v>39939</v>
      </c>
      <c r="L86" s="279">
        <v>45192</v>
      </c>
      <c r="M86" s="13">
        <v>42267</v>
      </c>
      <c r="N86" s="13">
        <v>48724</v>
      </c>
      <c r="O86" s="13">
        <v>48093</v>
      </c>
      <c r="P86" s="13">
        <v>99437</v>
      </c>
      <c r="Q86" s="13">
        <f t="shared" si="6"/>
        <v>527480</v>
      </c>
      <c r="R86" s="113"/>
      <c r="S86" s="23">
        <f t="shared" si="7"/>
        <v>0</v>
      </c>
    </row>
    <row r="87" spans="2:20" s="115" customFormat="1">
      <c r="B87">
        <v>81</v>
      </c>
      <c r="C87" s="132" t="s">
        <v>142</v>
      </c>
      <c r="D87" s="128">
        <f t="shared" si="2"/>
        <v>548520</v>
      </c>
      <c r="E87" s="279">
        <f>405+18992+900</f>
        <v>20297</v>
      </c>
      <c r="F87" s="279">
        <f>513+20290+1400</f>
        <v>22203</v>
      </c>
      <c r="G87" s="279">
        <v>31675</v>
      </c>
      <c r="H87" s="279">
        <v>25645</v>
      </c>
      <c r="I87" s="279">
        <v>38536</v>
      </c>
      <c r="J87" s="280">
        <v>36207</v>
      </c>
      <c r="K87" s="280">
        <v>36239</v>
      </c>
      <c r="L87" s="279">
        <v>40461</v>
      </c>
      <c r="M87" s="13">
        <v>42409</v>
      </c>
      <c r="N87" s="13">
        <v>42414</v>
      </c>
      <c r="O87" s="13">
        <v>39775</v>
      </c>
      <c r="P87" s="13">
        <v>172659</v>
      </c>
      <c r="Q87" s="13">
        <f t="shared" si="6"/>
        <v>548520</v>
      </c>
      <c r="R87" s="113"/>
      <c r="S87" s="23">
        <f t="shared" si="7"/>
        <v>0</v>
      </c>
    </row>
    <row r="88" spans="2:20" s="115" customFormat="1">
      <c r="B88">
        <v>82</v>
      </c>
      <c r="C88" s="129" t="s">
        <v>43</v>
      </c>
      <c r="D88" s="130">
        <f t="shared" si="2"/>
        <v>335626</v>
      </c>
      <c r="E88" s="279">
        <f>600+17937</f>
        <v>18537</v>
      </c>
      <c r="F88" s="279">
        <f>880+23457</f>
        <v>24337</v>
      </c>
      <c r="G88" s="279">
        <v>28556</v>
      </c>
      <c r="H88" s="279">
        <v>23615</v>
      </c>
      <c r="I88" s="279">
        <v>29495</v>
      </c>
      <c r="J88" s="281">
        <v>26797</v>
      </c>
      <c r="K88" s="281">
        <v>25795</v>
      </c>
      <c r="L88" s="288">
        <v>27405</v>
      </c>
      <c r="M88" s="13">
        <v>28041</v>
      </c>
      <c r="N88" s="13">
        <v>28892</v>
      </c>
      <c r="O88" s="13">
        <v>27239</v>
      </c>
      <c r="P88" s="13">
        <v>46917</v>
      </c>
      <c r="Q88" s="13">
        <f t="shared" si="6"/>
        <v>335626</v>
      </c>
      <c r="R88" s="113"/>
      <c r="S88" s="23">
        <f t="shared" si="7"/>
        <v>0</v>
      </c>
    </row>
    <row r="89" spans="2:20" s="115" customFormat="1">
      <c r="B89">
        <v>83</v>
      </c>
      <c r="C89" s="129" t="s">
        <v>224</v>
      </c>
      <c r="D89" s="130">
        <f>+Q89</f>
        <v>55678</v>
      </c>
      <c r="E89" s="279"/>
      <c r="F89" s="279"/>
      <c r="G89" s="279"/>
      <c r="H89" s="279"/>
      <c r="I89" s="279"/>
      <c r="J89" s="280"/>
      <c r="K89" s="280"/>
      <c r="L89" s="279"/>
      <c r="M89" s="13">
        <v>794</v>
      </c>
      <c r="N89" s="13">
        <v>14278</v>
      </c>
      <c r="O89" s="13">
        <v>17334</v>
      </c>
      <c r="P89" s="13">
        <v>23272</v>
      </c>
      <c r="Q89" s="13">
        <f t="shared" si="6"/>
        <v>55678</v>
      </c>
      <c r="R89" s="113"/>
      <c r="S89" s="23">
        <f t="shared" si="7"/>
        <v>0</v>
      </c>
    </row>
    <row r="90" spans="2:20" s="115" customFormat="1">
      <c r="B90">
        <v>84</v>
      </c>
      <c r="C90" s="132" t="s">
        <v>226</v>
      </c>
      <c r="D90" s="128">
        <f t="shared" si="2"/>
        <v>40181</v>
      </c>
      <c r="E90" s="279"/>
      <c r="F90" s="279"/>
      <c r="G90" s="279"/>
      <c r="H90" s="279"/>
      <c r="I90" s="279"/>
      <c r="J90" s="281"/>
      <c r="K90" s="281"/>
      <c r="L90" s="288"/>
      <c r="M90" s="13">
        <v>582</v>
      </c>
      <c r="N90" s="13">
        <v>13009</v>
      </c>
      <c r="O90" s="13">
        <v>13340</v>
      </c>
      <c r="P90" s="13">
        <v>13250</v>
      </c>
      <c r="Q90" s="13">
        <f t="shared" si="6"/>
        <v>40181</v>
      </c>
      <c r="R90" s="113"/>
      <c r="S90" s="23">
        <f t="shared" si="7"/>
        <v>0</v>
      </c>
    </row>
    <row r="91" spans="2:20" s="115" customFormat="1">
      <c r="B91"/>
      <c r="R91" s="113"/>
      <c r="S91" s="282"/>
    </row>
    <row r="92" spans="2:20" s="115" customFormat="1">
      <c r="B92"/>
      <c r="C92" s="132"/>
      <c r="D92" s="128"/>
      <c r="E92" s="279"/>
      <c r="F92" s="279"/>
      <c r="G92" s="279"/>
      <c r="H92" s="279"/>
      <c r="I92" s="279"/>
      <c r="J92" s="281"/>
      <c r="K92" s="281"/>
      <c r="L92" s="288"/>
      <c r="M92" s="14"/>
      <c r="N92" s="14"/>
      <c r="O92" s="14"/>
      <c r="P92" s="14"/>
      <c r="Q92" s="13"/>
      <c r="R92" s="113"/>
      <c r="S92" s="282"/>
    </row>
    <row r="93" spans="2:20" s="115" customFormat="1" ht="30">
      <c r="C93" s="129" t="s">
        <v>46</v>
      </c>
      <c r="D93" s="130">
        <f>SUM(D7:D92)</f>
        <v>41581015</v>
      </c>
      <c r="E93" s="279"/>
      <c r="F93" s="279"/>
      <c r="G93" s="279"/>
      <c r="H93" s="279"/>
      <c r="I93" s="279"/>
      <c r="J93" s="288"/>
      <c r="K93" s="279"/>
      <c r="L93" s="279"/>
      <c r="M93" s="288"/>
      <c r="N93" s="288"/>
      <c r="O93" s="288"/>
      <c r="P93" s="288"/>
      <c r="Q93" s="279"/>
      <c r="R93" s="113"/>
    </row>
    <row r="94" spans="2:20" ht="15.75" thickBot="1">
      <c r="C94" s="135" t="s">
        <v>47</v>
      </c>
      <c r="D94" s="136">
        <f>+D93+D5</f>
        <v>45307781</v>
      </c>
      <c r="E94" s="45">
        <f t="shared" ref="E94:M94" si="8">SUM(E7:E93)</f>
        <v>1455930</v>
      </c>
      <c r="F94" s="45">
        <f t="shared" si="8"/>
        <v>2078782</v>
      </c>
      <c r="G94" s="45">
        <f t="shared" si="8"/>
        <v>2718327</v>
      </c>
      <c r="H94" s="45">
        <f t="shared" si="8"/>
        <v>2178631</v>
      </c>
      <c r="I94" s="45">
        <f t="shared" si="8"/>
        <v>2729809</v>
      </c>
      <c r="J94" s="137">
        <f t="shared" si="8"/>
        <v>2571910</v>
      </c>
      <c r="K94" s="220">
        <f t="shared" si="8"/>
        <v>2722967</v>
      </c>
      <c r="L94" s="137">
        <f t="shared" si="8"/>
        <v>2822650</v>
      </c>
      <c r="M94" s="137">
        <f t="shared" si="8"/>
        <v>2787744</v>
      </c>
      <c r="N94" s="137">
        <f>SUM(N7:N93)</f>
        <v>3163582</v>
      </c>
      <c r="O94" s="137">
        <f>SUM(O7:O93)</f>
        <v>3211470</v>
      </c>
      <c r="P94" s="137">
        <f>SUM(P7:P93)</f>
        <v>13139213</v>
      </c>
      <c r="Q94" s="45">
        <f>SUM(E94:P94)</f>
        <v>41581015</v>
      </c>
      <c r="R94" s="27">
        <f>+'[2]BENEFICIARIO PR.TRIMESTRE'!$N$90</f>
        <v>2758099</v>
      </c>
      <c r="S94" s="23">
        <f>SUM(S5:S93)</f>
        <v>0</v>
      </c>
    </row>
    <row r="95" spans="2:20">
      <c r="C95" s="138"/>
      <c r="D95" s="139">
        <f>SUM(D7:D88)</f>
        <v>41485156</v>
      </c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T95" s="23"/>
    </row>
    <row r="96" spans="2:20" ht="15.75" thickBot="1">
      <c r="D96" s="140"/>
      <c r="E96" s="283">
        <f>E5+E94</f>
        <v>1646818</v>
      </c>
      <c r="F96" s="283">
        <f>F5+F94</f>
        <v>2281241</v>
      </c>
      <c r="G96" s="283">
        <f>G5+G94</f>
        <v>2976678</v>
      </c>
      <c r="H96" s="283">
        <f>H94+H6</f>
        <v>2435122</v>
      </c>
      <c r="I96" s="283">
        <f>I5+I94</f>
        <v>2982900</v>
      </c>
      <c r="J96" s="283">
        <f>J94+J6</f>
        <v>2795506</v>
      </c>
      <c r="K96" s="284">
        <f>+K6+K94</f>
        <v>2943409</v>
      </c>
      <c r="L96" s="284">
        <f>+L94+L6</f>
        <v>3090367</v>
      </c>
      <c r="M96" s="141">
        <f>+M6+M94</f>
        <v>3048310</v>
      </c>
      <c r="N96" s="141">
        <f>N94+N6</f>
        <v>3487653</v>
      </c>
      <c r="O96" s="141">
        <f>+O94+O6</f>
        <v>3536165</v>
      </c>
      <c r="P96" s="141">
        <f>+P94+P6</f>
        <v>14083612</v>
      </c>
      <c r="Q96" s="15">
        <f>SUM(E96:P96)</f>
        <v>45307781</v>
      </c>
    </row>
    <row r="97" spans="3:24" ht="21" customHeight="1">
      <c r="C97" s="285"/>
      <c r="D97" s="113"/>
      <c r="E97" s="143">
        <v>76.23</v>
      </c>
      <c r="F97" s="143">
        <v>76.39</v>
      </c>
      <c r="G97" s="143">
        <v>71.05</v>
      </c>
      <c r="H97" s="143">
        <f>+H98/H96</f>
        <v>75.939603551690638</v>
      </c>
      <c r="I97" s="143">
        <v>68.33</v>
      </c>
      <c r="J97" s="113">
        <v>70.48</v>
      </c>
      <c r="K97" s="143">
        <v>66.680000000000007</v>
      </c>
      <c r="L97" s="143">
        <f>+'[3]BENEFICIARIO PR.TRIMESTRE'!$M$91</f>
        <v>66.05</v>
      </c>
      <c r="M97" s="143">
        <v>66.66</v>
      </c>
      <c r="N97" s="143">
        <v>78.31</v>
      </c>
      <c r="O97" s="143">
        <f>+O101/O94</f>
        <v>79.2</v>
      </c>
      <c r="P97" s="143">
        <f>+P101/P94</f>
        <v>55.78</v>
      </c>
      <c r="Q97" s="223">
        <f>+Q101/Q94</f>
        <v>67.863585039951531</v>
      </c>
      <c r="S97" s="225"/>
      <c r="U97" s="145"/>
      <c r="V97" s="146"/>
      <c r="W97" s="147"/>
    </row>
    <row r="98" spans="3:24" ht="15.75">
      <c r="C98" s="285"/>
      <c r="D98" s="140"/>
      <c r="E98" s="148">
        <f>E97*E94</f>
        <v>110985543.90000001</v>
      </c>
      <c r="F98" s="149">
        <f>F94*F97</f>
        <v>158798156.97999999</v>
      </c>
      <c r="G98" s="149">
        <f>G94*G97</f>
        <v>193137133.34999999</v>
      </c>
      <c r="H98" s="150">
        <f>H94*84.88</f>
        <v>184922199.28</v>
      </c>
      <c r="I98" s="150">
        <f>I94*68.33</f>
        <v>186527848.97</v>
      </c>
      <c r="J98" s="151">
        <f>J94*J97</f>
        <v>181268216.80000001</v>
      </c>
      <c r="K98" s="150">
        <f>+K94*K97</f>
        <v>181567439.56000003</v>
      </c>
      <c r="L98" s="151">
        <f>+L94*L97</f>
        <v>186436032.5</v>
      </c>
      <c r="M98" s="151">
        <f>+M96*M97</f>
        <v>203200344.59999999</v>
      </c>
      <c r="N98" s="151">
        <f>+N94*N97</f>
        <v>247740106.42000002</v>
      </c>
      <c r="O98" s="151">
        <f>+O94*79.2</f>
        <v>254348424</v>
      </c>
      <c r="P98" s="151">
        <f>+P94*55.78</f>
        <v>732905301.13999999</v>
      </c>
      <c r="Q98" s="141">
        <f>SUM(E98:P98)</f>
        <v>2821836747.5</v>
      </c>
      <c r="R98" s="27">
        <f>571.13/9</f>
        <v>63.458888888888886</v>
      </c>
      <c r="S98" s="23"/>
      <c r="T98" s="23">
        <f>+P102+O102+N102</f>
        <v>1335921780.3800001</v>
      </c>
      <c r="U98" s="152"/>
      <c r="V98" s="153"/>
      <c r="W98" s="154"/>
    </row>
    <row r="99" spans="3:24">
      <c r="S99" s="224"/>
      <c r="U99" s="155"/>
      <c r="V99" s="156"/>
      <c r="W99" s="154"/>
    </row>
    <row r="100" spans="3:24" ht="15.75" thickBot="1">
      <c r="D100" s="222" t="s">
        <v>227</v>
      </c>
      <c r="E100" s="27">
        <f>65*50299+30*8265+45*12530+119794*76.23</f>
        <v>13213131.620000001</v>
      </c>
      <c r="F100" s="27">
        <f>49106*65+6495*30+11257*45+135601*76.39</f>
        <v>14251865.390000001</v>
      </c>
      <c r="G100" s="27">
        <f>186470*71.05+71881*58.1118098</f>
        <v>17425828.500233799</v>
      </c>
      <c r="H100" s="27">
        <f>186405*84.88+70086*59.60013412</f>
        <v>19999191.399934318</v>
      </c>
      <c r="I100" s="27">
        <f>178981*68.33+74110*58.37532047</f>
        <v>16555966.730031699</v>
      </c>
      <c r="J100" s="27">
        <f>154406*70.48+69190*58.1606446</f>
        <v>14906669.879874</v>
      </c>
      <c r="K100" s="27">
        <f>145783*66.68+74659*58.04966581</f>
        <v>14054740.439708792</v>
      </c>
      <c r="L100" s="24">
        <f>+'[3]BENEFICIARIO PR.TRIMESTRE'!$M$94</f>
        <v>17101600.650144398</v>
      </c>
      <c r="M100" s="27">
        <f>4168305+12590807.46</f>
        <v>16759112.460000001</v>
      </c>
      <c r="N100" s="27">
        <f>19294017.8+4519465</f>
        <v>23813482.800000001</v>
      </c>
      <c r="O100" s="27">
        <f>4131885+20055736.8</f>
        <v>24187621.800000001</v>
      </c>
      <c r="P100" s="27">
        <f>48124139.22+4802705</f>
        <v>52926844.219999999</v>
      </c>
      <c r="Q100" s="23">
        <f>SUM(E100:O100)</f>
        <v>192269211.66992706</v>
      </c>
      <c r="R100" s="27">
        <f>+O100+N100+M100+L100+K100+J100+I100+G100+F100+H100+E100</f>
        <v>192269211.66992703</v>
      </c>
      <c r="S100" s="208"/>
      <c r="U100" s="157"/>
      <c r="V100" s="158"/>
      <c r="W100" s="159"/>
    </row>
    <row r="101" spans="3:24">
      <c r="D101" t="s">
        <v>228</v>
      </c>
      <c r="E101" s="27">
        <f>1455930*76.23</f>
        <v>110985543.90000001</v>
      </c>
      <c r="F101" s="27">
        <f>F94*76.39</f>
        <v>158798156.97999999</v>
      </c>
      <c r="G101" s="27">
        <f>G94*71.05</f>
        <v>193137133.34999999</v>
      </c>
      <c r="H101" s="27">
        <f>H94*84.88</f>
        <v>184922199.28</v>
      </c>
      <c r="I101" s="160">
        <f>I98</f>
        <v>186527848.97</v>
      </c>
      <c r="J101" s="24">
        <f>J98</f>
        <v>181268216.80000001</v>
      </c>
      <c r="K101" s="24">
        <f>+K98</f>
        <v>181567439.56000003</v>
      </c>
      <c r="L101" s="24">
        <f>+'[3]BENEFICIARIO PR.TRIMESTRE'!$M$95</f>
        <v>186436032.5</v>
      </c>
      <c r="M101" s="27">
        <f>+M98</f>
        <v>203200344.59999999</v>
      </c>
      <c r="N101" s="27">
        <f>+N98</f>
        <v>247740106.42000002</v>
      </c>
      <c r="O101" s="27">
        <f>+O98</f>
        <v>254348424</v>
      </c>
      <c r="P101" s="27">
        <f>+P98</f>
        <v>732905301.13999999</v>
      </c>
      <c r="Q101" s="27">
        <f>SUM(E101:P101)</f>
        <v>2821836747.5</v>
      </c>
      <c r="R101" s="27">
        <f>+O101+N101+M101+L101+K101+J101+I101+H101+G101+F101+E101</f>
        <v>2088931446.3600001</v>
      </c>
      <c r="S101" s="27"/>
      <c r="T101" s="23"/>
    </row>
    <row r="102" spans="3:24" ht="15.75">
      <c r="D102" s="218" t="s">
        <v>58</v>
      </c>
      <c r="E102" s="162">
        <f t="shared" ref="E102:M102" si="9">SUM(E100:E101)</f>
        <v>124198675.52000001</v>
      </c>
      <c r="F102" s="163">
        <f t="shared" si="9"/>
        <v>173050022.37</v>
      </c>
      <c r="G102" s="163">
        <f t="shared" si="9"/>
        <v>210562961.85023379</v>
      </c>
      <c r="H102" s="162">
        <f>SUM(H100:H101)</f>
        <v>204921390.67993432</v>
      </c>
      <c r="I102" s="162">
        <f t="shared" si="9"/>
        <v>203083815.7000317</v>
      </c>
      <c r="J102" s="162">
        <f>SUM(J100:J101)</f>
        <v>196174886.679874</v>
      </c>
      <c r="K102" s="162">
        <f t="shared" si="9"/>
        <v>195622179.99970883</v>
      </c>
      <c r="L102" s="162">
        <f t="shared" si="9"/>
        <v>203537633.1501444</v>
      </c>
      <c r="M102" s="162">
        <f t="shared" si="9"/>
        <v>219959457.06</v>
      </c>
      <c r="N102" s="162">
        <f t="shared" ref="N102" si="10">SUM(N100:N101)</f>
        <v>271553589.22000003</v>
      </c>
      <c r="O102" s="162">
        <f>SUM(O100:O101)</f>
        <v>278536045.80000001</v>
      </c>
      <c r="P102" s="162">
        <f>SUM(P100:P101)</f>
        <v>785832145.36000001</v>
      </c>
      <c r="Q102" s="162">
        <f>SUM(E102:P102)</f>
        <v>3067032803.3899274</v>
      </c>
      <c r="R102" s="27">
        <f>SUM(R100:R101)</f>
        <v>2281200658.0299273</v>
      </c>
      <c r="S102" s="221"/>
      <c r="T102" s="85"/>
      <c r="U102" s="24">
        <v>125409</v>
      </c>
    </row>
    <row r="103" spans="3:24">
      <c r="I103" s="164"/>
      <c r="J103" s="27"/>
      <c r="K103" s="24"/>
      <c r="M103" s="23">
        <f>+'[1]RELACION COCIDA 2022'!$N$73</f>
        <v>0</v>
      </c>
      <c r="S103" s="23"/>
      <c r="U103">
        <v>227794</v>
      </c>
    </row>
    <row r="104" spans="3:24" ht="28.5" customHeight="1">
      <c r="E104" s="42"/>
      <c r="F104" s="42"/>
      <c r="G104" s="42"/>
      <c r="H104" s="42"/>
      <c r="I104" s="56"/>
      <c r="J104" s="206"/>
      <c r="K104" s="206"/>
      <c r="L104" s="206"/>
      <c r="M104" s="206"/>
      <c r="N104" s="206"/>
      <c r="O104" s="206"/>
      <c r="P104" s="206"/>
      <c r="Q104" s="54"/>
      <c r="S104" s="226"/>
      <c r="U104" s="292">
        <f>SUM(U102:U103)</f>
        <v>353203</v>
      </c>
      <c r="X104" s="24"/>
    </row>
    <row r="105" spans="3:24" ht="15.75" thickBot="1">
      <c r="E105" s="42"/>
      <c r="F105" s="42"/>
      <c r="G105" s="287" t="s">
        <v>223</v>
      </c>
      <c r="H105" s="42"/>
      <c r="I105" s="56"/>
      <c r="J105" s="215"/>
      <c r="K105" s="215"/>
      <c r="L105" s="207"/>
      <c r="M105" s="215"/>
      <c r="N105" s="215"/>
      <c r="O105" s="215"/>
      <c r="P105" s="215"/>
      <c r="Q105" s="42"/>
      <c r="X105" s="24"/>
    </row>
    <row r="106" spans="3:24" ht="15.75">
      <c r="C106" s="209"/>
      <c r="D106" s="210"/>
      <c r="E106" s="216"/>
      <c r="F106" s="42"/>
      <c r="G106" s="286">
        <f>+D94</f>
        <v>45307781</v>
      </c>
      <c r="H106" s="42"/>
      <c r="I106" s="56"/>
      <c r="J106" s="215"/>
      <c r="K106" s="219"/>
      <c r="L106" s="215"/>
      <c r="M106" s="215"/>
      <c r="N106" s="205"/>
      <c r="O106" s="205"/>
      <c r="P106" s="205"/>
      <c r="Q106" s="48"/>
      <c r="S106" s="161"/>
      <c r="X106" s="24"/>
    </row>
    <row r="107" spans="3:24">
      <c r="C107" s="211">
        <v>2020</v>
      </c>
      <c r="D107" s="212">
        <f>2754727+804004</f>
        <v>3558731</v>
      </c>
      <c r="E107" s="42"/>
      <c r="F107" s="42"/>
      <c r="G107" s="42"/>
      <c r="H107" s="286">
        <f>+D18+D40+D52+D68+D74</f>
        <v>1096954</v>
      </c>
      <c r="I107" s="56"/>
      <c r="J107" s="215"/>
      <c r="K107" s="215"/>
      <c r="L107" s="215"/>
      <c r="M107" s="215"/>
      <c r="N107" s="165"/>
      <c r="O107" s="165"/>
      <c r="P107" s="165"/>
      <c r="Q107" s="42"/>
      <c r="R107" s="23"/>
      <c r="S107" s="23"/>
    </row>
    <row r="108" spans="3:24">
      <c r="C108" s="211">
        <v>2021</v>
      </c>
      <c r="D108" s="212">
        <f>13673247+2036635</f>
        <v>15709882</v>
      </c>
      <c r="E108" s="42"/>
      <c r="F108" s="42"/>
      <c r="G108" s="42"/>
      <c r="H108" s="286">
        <f>+D94-H107</f>
        <v>44210827</v>
      </c>
      <c r="I108" s="56"/>
      <c r="J108" s="215"/>
      <c r="K108" s="215"/>
      <c r="L108" s="215"/>
      <c r="M108" s="215"/>
      <c r="N108" s="207"/>
      <c r="O108" s="207"/>
      <c r="P108" s="207"/>
      <c r="Q108" s="42"/>
    </row>
    <row r="109" spans="3:24">
      <c r="C109" s="211">
        <v>2022</v>
      </c>
      <c r="D109" s="212">
        <f>31620972+3655160</f>
        <v>35276132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</row>
    <row r="110" spans="3:24">
      <c r="C110" s="211">
        <v>2023</v>
      </c>
      <c r="D110" s="212">
        <f>+D94</f>
        <v>45307781</v>
      </c>
    </row>
    <row r="111" spans="3:24">
      <c r="C111" s="211"/>
      <c r="D111" s="217">
        <f>SUM(D107:D110)</f>
        <v>99852526</v>
      </c>
    </row>
    <row r="112" spans="3:24" ht="15.75" thickBot="1">
      <c r="C112" s="213"/>
      <c r="D112" s="214"/>
    </row>
    <row r="113" spans="5:5">
      <c r="E113">
        <f>+'COCIDA 2020'!Q62</f>
        <v>235745442.58999997</v>
      </c>
    </row>
    <row r="114" spans="5:5">
      <c r="E114" s="23">
        <f>+'COCIDA 2021'!Q61</f>
        <v>995506007.25999999</v>
      </c>
    </row>
    <row r="115" spans="5:5">
      <c r="E115" s="23" t="e">
        <f>+#REF!</f>
        <v>#REF!</v>
      </c>
    </row>
    <row r="116" spans="5:5">
      <c r="E116" s="23">
        <f>+Q102</f>
        <v>3067032803.3899274</v>
      </c>
    </row>
    <row r="117" spans="5:5">
      <c r="E117" s="27" t="e">
        <f>SUM(E113:E116)</f>
        <v>#REF!</v>
      </c>
    </row>
  </sheetData>
  <mergeCells count="2">
    <mergeCell ref="C3:D3"/>
    <mergeCell ref="C4:D4"/>
  </mergeCells>
  <pageMargins left="0.11811023622047245" right="0.11811023622047245" top="0.23622047244094491" bottom="0.15748031496062992" header="0.23622047244094491" footer="0.31496062992125984"/>
  <pageSetup paperSize="5"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E7" sqref="E7:G20"/>
    </sheetView>
  </sheetViews>
  <sheetFormatPr baseColWidth="10" defaultRowHeight="15"/>
  <cols>
    <col min="4" max="4" width="15.42578125" customWidth="1"/>
    <col min="7" max="7" width="15" customWidth="1"/>
  </cols>
  <sheetData>
    <row r="3" spans="1:7" ht="18.75">
      <c r="A3" s="401" t="s">
        <v>301</v>
      </c>
      <c r="B3" s="401"/>
      <c r="C3" s="401"/>
      <c r="D3" s="401"/>
      <c r="E3" s="401"/>
      <c r="F3" s="401"/>
      <c r="G3" s="401"/>
    </row>
    <row r="4" spans="1:7" ht="18.75">
      <c r="A4" s="401" t="s">
        <v>302</v>
      </c>
      <c r="B4" s="401"/>
      <c r="C4" s="401"/>
      <c r="D4" s="401"/>
      <c r="E4" s="401"/>
      <c r="F4" s="401"/>
      <c r="G4" s="401"/>
    </row>
    <row r="5" spans="1:7" ht="15.75" thickBot="1">
      <c r="A5" s="357"/>
      <c r="B5" s="357"/>
      <c r="C5" s="357"/>
      <c r="D5" s="357"/>
      <c r="E5" s="357"/>
      <c r="F5" s="357"/>
      <c r="G5" s="357"/>
    </row>
    <row r="6" spans="1:7" ht="15.75" thickBot="1">
      <c r="A6" s="357"/>
      <c r="B6" s="395">
        <v>2023</v>
      </c>
      <c r="C6" s="396"/>
      <c r="D6" s="397"/>
      <c r="E6" s="398">
        <v>2024</v>
      </c>
      <c r="F6" s="399"/>
      <c r="G6" s="400"/>
    </row>
    <row r="7" spans="1:7" ht="15.75" thickBot="1">
      <c r="A7" s="357"/>
      <c r="B7" s="371" t="s">
        <v>127</v>
      </c>
      <c r="C7" s="372" t="s">
        <v>299</v>
      </c>
      <c r="D7" s="373" t="s">
        <v>300</v>
      </c>
      <c r="E7" s="374" t="s">
        <v>127</v>
      </c>
      <c r="F7" s="375" t="s">
        <v>299</v>
      </c>
      <c r="G7" s="376" t="s">
        <v>300</v>
      </c>
    </row>
    <row r="8" spans="1:7">
      <c r="A8" s="358" t="s">
        <v>283</v>
      </c>
      <c r="B8" s="359"/>
      <c r="C8" s="360">
        <v>76.23</v>
      </c>
      <c r="D8" s="361">
        <f>+B8*C8</f>
        <v>0</v>
      </c>
      <c r="E8" s="363">
        <v>0</v>
      </c>
      <c r="F8" s="360">
        <v>75.06</v>
      </c>
      <c r="G8" s="383">
        <f>+F8*E8</f>
        <v>0</v>
      </c>
    </row>
    <row r="9" spans="1:7">
      <c r="A9" s="362" t="s">
        <v>284</v>
      </c>
      <c r="B9" s="363">
        <v>119163</v>
      </c>
      <c r="C9" s="364">
        <v>76.39</v>
      </c>
      <c r="D9" s="365">
        <f t="shared" ref="D9:D19" si="0">+B9*C9</f>
        <v>9102861.5700000003</v>
      </c>
      <c r="E9" s="363">
        <v>73958</v>
      </c>
      <c r="F9" s="364">
        <v>72.84</v>
      </c>
      <c r="G9" s="365">
        <f t="shared" ref="G9:G19" si="1">+F9*E9</f>
        <v>5387100.7200000007</v>
      </c>
    </row>
    <row r="10" spans="1:7">
      <c r="A10" s="362" t="s">
        <v>285</v>
      </c>
      <c r="B10" s="363">
        <v>167444</v>
      </c>
      <c r="C10" s="364">
        <v>71.05</v>
      </c>
      <c r="D10" s="365">
        <f t="shared" si="0"/>
        <v>11896896.199999999</v>
      </c>
      <c r="E10" s="363">
        <v>125902</v>
      </c>
      <c r="F10" s="364">
        <v>74.400000000000006</v>
      </c>
      <c r="G10" s="365">
        <f t="shared" si="1"/>
        <v>9367108.8000000007</v>
      </c>
    </row>
    <row r="11" spans="1:7">
      <c r="A11" s="362" t="s">
        <v>286</v>
      </c>
      <c r="B11" s="363">
        <v>104864</v>
      </c>
      <c r="C11" s="364">
        <v>75.94</v>
      </c>
      <c r="D11" s="365">
        <f t="shared" si="0"/>
        <v>7963372.1600000001</v>
      </c>
      <c r="E11" s="363">
        <v>164447</v>
      </c>
      <c r="F11" s="364">
        <v>84.15</v>
      </c>
      <c r="G11" s="365">
        <f t="shared" si="1"/>
        <v>13838215.050000001</v>
      </c>
    </row>
    <row r="12" spans="1:7">
      <c r="A12" s="362" t="s">
        <v>287</v>
      </c>
      <c r="B12" s="363">
        <v>12419</v>
      </c>
      <c r="C12" s="364">
        <v>68.33</v>
      </c>
      <c r="D12" s="365">
        <f t="shared" si="0"/>
        <v>848590.27</v>
      </c>
      <c r="E12" s="363">
        <v>71419</v>
      </c>
      <c r="F12" s="364">
        <v>75.72</v>
      </c>
      <c r="G12" s="365">
        <f t="shared" si="1"/>
        <v>5407846.6799999997</v>
      </c>
    </row>
    <row r="13" spans="1:7">
      <c r="A13" s="362" t="s">
        <v>288</v>
      </c>
      <c r="B13" s="363">
        <v>25268</v>
      </c>
      <c r="C13" s="364">
        <v>70.48</v>
      </c>
      <c r="D13" s="365">
        <f t="shared" si="0"/>
        <v>1780888.6400000001</v>
      </c>
      <c r="E13" s="363">
        <v>0</v>
      </c>
      <c r="F13" s="364">
        <v>75.709999999999994</v>
      </c>
      <c r="G13" s="365">
        <f t="shared" si="1"/>
        <v>0</v>
      </c>
    </row>
    <row r="14" spans="1:7">
      <c r="A14" s="362" t="s">
        <v>289</v>
      </c>
      <c r="B14" s="363">
        <v>37561</v>
      </c>
      <c r="C14" s="364">
        <v>66.680000000000007</v>
      </c>
      <c r="D14" s="365">
        <f t="shared" si="0"/>
        <v>2504567.4800000004</v>
      </c>
      <c r="E14" s="363">
        <v>0</v>
      </c>
      <c r="F14" s="364">
        <v>69.72</v>
      </c>
      <c r="G14" s="365">
        <f t="shared" si="1"/>
        <v>0</v>
      </c>
    </row>
    <row r="15" spans="1:7">
      <c r="A15" s="362" t="s">
        <v>290</v>
      </c>
      <c r="B15" s="363">
        <v>0</v>
      </c>
      <c r="C15" s="364">
        <v>66.05</v>
      </c>
      <c r="D15" s="365">
        <f t="shared" si="0"/>
        <v>0</v>
      </c>
      <c r="E15" s="363">
        <v>23961</v>
      </c>
      <c r="F15" s="364">
        <v>69.72</v>
      </c>
      <c r="G15" s="365">
        <f t="shared" si="1"/>
        <v>1670560.92</v>
      </c>
    </row>
    <row r="16" spans="1:7">
      <c r="A16" s="362" t="s">
        <v>296</v>
      </c>
      <c r="B16" s="363">
        <v>95241</v>
      </c>
      <c r="C16" s="364">
        <v>66.66</v>
      </c>
      <c r="D16" s="365">
        <f t="shared" si="0"/>
        <v>6348765.0599999996</v>
      </c>
      <c r="F16" s="364"/>
      <c r="G16" s="365">
        <f t="shared" si="1"/>
        <v>0</v>
      </c>
    </row>
    <row r="17" spans="1:7">
      <c r="A17" s="362" t="s">
        <v>293</v>
      </c>
      <c r="B17" s="363">
        <v>207054</v>
      </c>
      <c r="C17" s="364">
        <v>78.31</v>
      </c>
      <c r="D17" s="365">
        <f t="shared" si="0"/>
        <v>16214398.74</v>
      </c>
      <c r="E17" s="363"/>
      <c r="F17" s="364"/>
      <c r="G17" s="365">
        <f t="shared" si="1"/>
        <v>0</v>
      </c>
    </row>
    <row r="18" spans="1:7">
      <c r="A18" s="362" t="s">
        <v>297</v>
      </c>
      <c r="B18" s="363">
        <v>157165</v>
      </c>
      <c r="C18" s="364">
        <v>79.2</v>
      </c>
      <c r="D18" s="365">
        <f t="shared" si="0"/>
        <v>12447468</v>
      </c>
      <c r="E18" s="363"/>
      <c r="F18" s="364"/>
      <c r="G18" s="365">
        <f t="shared" si="1"/>
        <v>0</v>
      </c>
    </row>
    <row r="19" spans="1:7" ht="15.75" thickBot="1">
      <c r="A19" s="366" t="s">
        <v>295</v>
      </c>
      <c r="B19" s="367">
        <v>8177</v>
      </c>
      <c r="C19" s="368">
        <v>55.78</v>
      </c>
      <c r="D19" s="369">
        <f t="shared" si="0"/>
        <v>456113.06</v>
      </c>
      <c r="E19" s="367"/>
      <c r="F19" s="368"/>
      <c r="G19" s="384">
        <f t="shared" si="1"/>
        <v>0</v>
      </c>
    </row>
    <row r="20" spans="1:7" ht="15.75" thickBot="1">
      <c r="A20" s="370" t="s">
        <v>47</v>
      </c>
      <c r="B20" s="379">
        <f>SUM(B8:B19)</f>
        <v>934356</v>
      </c>
      <c r="C20" s="380"/>
      <c r="D20" s="381">
        <f>SUM(D8:D19)</f>
        <v>69563921.180000007</v>
      </c>
      <c r="E20" s="377">
        <f>SUM(E8:E19)</f>
        <v>459687</v>
      </c>
      <c r="F20" s="378"/>
      <c r="G20" s="382">
        <f>SUM(G8:G19)</f>
        <v>35670832.170000002</v>
      </c>
    </row>
  </sheetData>
  <mergeCells count="4">
    <mergeCell ref="B6:D6"/>
    <mergeCell ref="E6:G6"/>
    <mergeCell ref="A3:G3"/>
    <mergeCell ref="A4:G4"/>
  </mergeCells>
  <pageMargins left="0.91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4" zoomScale="85" zoomScaleNormal="85" workbookViewId="0">
      <selection activeCell="A16" sqref="A16:G30"/>
    </sheetView>
  </sheetViews>
  <sheetFormatPr baseColWidth="10" defaultRowHeight="15"/>
  <cols>
    <col min="1" max="1" width="15.28515625" customWidth="1"/>
    <col min="4" max="4" width="12.7109375" bestFit="1" customWidth="1"/>
    <col min="7" max="7" width="13" customWidth="1"/>
  </cols>
  <sheetData>
    <row r="1" spans="1:17" ht="15.75" thickBot="1"/>
    <row r="2" spans="1:17">
      <c r="D2" s="402">
        <v>2023</v>
      </c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4"/>
    </row>
    <row r="3" spans="1:17" ht="15.75" thickBot="1">
      <c r="D3" s="349" t="s">
        <v>283</v>
      </c>
      <c r="E3" s="350" t="s">
        <v>284</v>
      </c>
      <c r="F3" s="350"/>
      <c r="G3" s="350" t="s">
        <v>285</v>
      </c>
      <c r="H3" s="350" t="s">
        <v>286</v>
      </c>
      <c r="I3" s="350" t="s">
        <v>287</v>
      </c>
      <c r="J3" s="350" t="s">
        <v>288</v>
      </c>
      <c r="K3" s="350" t="s">
        <v>289</v>
      </c>
      <c r="L3" s="350" t="s">
        <v>290</v>
      </c>
      <c r="M3" s="350" t="s">
        <v>292</v>
      </c>
      <c r="N3" s="350" t="s">
        <v>293</v>
      </c>
      <c r="O3" s="350" t="s">
        <v>294</v>
      </c>
      <c r="P3" s="350" t="s">
        <v>295</v>
      </c>
      <c r="Q3" s="351" t="s">
        <v>47</v>
      </c>
    </row>
    <row r="4" spans="1:17">
      <c r="A4" s="352" t="s">
        <v>156</v>
      </c>
      <c r="B4" s="130">
        <f t="shared" ref="B4" si="0">+Q4</f>
        <v>934356</v>
      </c>
      <c r="C4" s="355"/>
      <c r="D4" s="347"/>
      <c r="E4" s="347">
        <f>6770+86772+25621</f>
        <v>119163</v>
      </c>
      <c r="F4" s="347"/>
      <c r="G4" s="347">
        <v>167444</v>
      </c>
      <c r="H4" s="347">
        <v>104864</v>
      </c>
      <c r="I4" s="347">
        <v>12419</v>
      </c>
      <c r="J4" s="348">
        <v>25268</v>
      </c>
      <c r="K4" s="348">
        <v>37561</v>
      </c>
      <c r="L4" s="347">
        <v>0</v>
      </c>
      <c r="M4" s="347">
        <v>95241</v>
      </c>
      <c r="N4" s="347">
        <v>207054</v>
      </c>
      <c r="O4" s="347">
        <v>157165</v>
      </c>
      <c r="P4" s="347">
        <v>8177</v>
      </c>
      <c r="Q4" s="347">
        <f t="shared" ref="Q4" si="1">SUM(D4:P4)</f>
        <v>934356</v>
      </c>
    </row>
    <row r="5" spans="1:17">
      <c r="D5" s="143">
        <v>76.23</v>
      </c>
      <c r="E5" s="143">
        <v>76.39</v>
      </c>
      <c r="F5" s="143"/>
      <c r="G5" s="143">
        <v>71.05</v>
      </c>
      <c r="H5" s="143">
        <v>75.94</v>
      </c>
      <c r="I5" s="143">
        <v>68.33</v>
      </c>
      <c r="J5" s="113">
        <v>70.48</v>
      </c>
      <c r="K5" s="143">
        <v>66.680000000000007</v>
      </c>
      <c r="L5" s="143">
        <f>+'[3]BENEFICIARIO PR.TRIMESTRE'!$M$91</f>
        <v>66.05</v>
      </c>
      <c r="M5" s="143">
        <v>66.66</v>
      </c>
      <c r="N5" s="143">
        <v>78.31</v>
      </c>
      <c r="O5" s="143">
        <v>79.2</v>
      </c>
      <c r="P5" s="143">
        <v>55.78</v>
      </c>
      <c r="Q5" s="223">
        <v>67.86</v>
      </c>
    </row>
    <row r="7" spans="1:17" ht="15.75" thickBot="1">
      <c r="E7" s="16">
        <f>+E4+G4+H4+I4+J4+K4+L4+M4+N4+O4+P4</f>
        <v>934356</v>
      </c>
      <c r="F7" s="16"/>
    </row>
    <row r="8" spans="1:17">
      <c r="D8" s="402">
        <v>2024</v>
      </c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4"/>
    </row>
    <row r="9" spans="1:17" ht="15.75" thickBot="1">
      <c r="D9" s="349" t="s">
        <v>283</v>
      </c>
      <c r="E9" s="350" t="s">
        <v>284</v>
      </c>
      <c r="F9" s="350"/>
      <c r="G9" s="350" t="s">
        <v>285</v>
      </c>
      <c r="H9" s="350" t="s">
        <v>286</v>
      </c>
      <c r="I9" s="350" t="s">
        <v>287</v>
      </c>
      <c r="J9" s="350" t="s">
        <v>288</v>
      </c>
      <c r="K9" s="350" t="s">
        <v>289</v>
      </c>
      <c r="L9" s="350" t="s">
        <v>290</v>
      </c>
      <c r="M9" s="350" t="s">
        <v>292</v>
      </c>
      <c r="N9" s="350" t="s">
        <v>293</v>
      </c>
      <c r="O9" s="350" t="s">
        <v>294</v>
      </c>
      <c r="P9" s="350" t="s">
        <v>295</v>
      </c>
      <c r="Q9" s="351" t="s">
        <v>47</v>
      </c>
    </row>
    <row r="10" spans="1:17">
      <c r="A10" s="352" t="s">
        <v>156</v>
      </c>
      <c r="B10" s="130">
        <f t="shared" ref="B10" si="2">+Q10</f>
        <v>459687</v>
      </c>
      <c r="C10" s="356"/>
      <c r="D10" s="13">
        <v>0</v>
      </c>
      <c r="E10" s="13">
        <v>73958</v>
      </c>
      <c r="F10" s="13"/>
      <c r="G10" s="13">
        <v>125902</v>
      </c>
      <c r="H10" s="13">
        <v>164447</v>
      </c>
      <c r="I10" s="13">
        <v>71419</v>
      </c>
      <c r="J10" s="44">
        <v>0</v>
      </c>
      <c r="K10" s="308">
        <v>0</v>
      </c>
      <c r="L10" s="13">
        <v>23961</v>
      </c>
      <c r="M10" s="13"/>
      <c r="N10" s="13"/>
      <c r="O10" s="13"/>
      <c r="P10" s="13"/>
      <c r="Q10" s="13">
        <f t="shared" ref="Q10" si="3">SUM(D10:P10)</f>
        <v>459687</v>
      </c>
    </row>
    <row r="11" spans="1:17">
      <c r="D11" s="339">
        <v>75.06</v>
      </c>
      <c r="E11" s="339">
        <v>72.84</v>
      </c>
      <c r="F11" s="339"/>
      <c r="G11" s="339">
        <v>74.400000000000006</v>
      </c>
      <c r="H11" s="339">
        <v>84.15</v>
      </c>
      <c r="I11" s="339">
        <v>75.72</v>
      </c>
      <c r="J11" s="338">
        <v>75.709999999999994</v>
      </c>
      <c r="K11" s="339">
        <v>69.72</v>
      </c>
      <c r="L11" s="339">
        <v>69.72</v>
      </c>
      <c r="M11" s="339"/>
      <c r="N11" s="339"/>
      <c r="O11" s="339"/>
      <c r="P11" s="339"/>
      <c r="Q11" s="340"/>
    </row>
    <row r="13" spans="1:17">
      <c r="B13" t="s">
        <v>127</v>
      </c>
    </row>
    <row r="14" spans="1:17">
      <c r="A14" s="353"/>
    </row>
    <row r="15" spans="1:17" ht="15.75" thickBot="1">
      <c r="A15" s="353"/>
    </row>
    <row r="16" spans="1:17" ht="15.75" thickBot="1">
      <c r="B16" s="405">
        <v>2023</v>
      </c>
      <c r="C16" s="406"/>
      <c r="D16" s="407"/>
      <c r="E16" s="405">
        <v>2024</v>
      </c>
      <c r="F16" s="406"/>
      <c r="G16" s="407"/>
    </row>
    <row r="17" spans="1:7" ht="15.75" thickBot="1">
      <c r="B17" s="349" t="s">
        <v>127</v>
      </c>
      <c r="C17" s="350" t="s">
        <v>299</v>
      </c>
      <c r="D17" s="351" t="s">
        <v>298</v>
      </c>
      <c r="E17" s="349" t="s">
        <v>127</v>
      </c>
      <c r="F17" s="350" t="s">
        <v>299</v>
      </c>
      <c r="G17" s="351" t="s">
        <v>298</v>
      </c>
    </row>
    <row r="18" spans="1:7">
      <c r="A18" s="98" t="s">
        <v>283</v>
      </c>
      <c r="B18" s="40"/>
      <c r="C18" s="24">
        <v>76.23</v>
      </c>
      <c r="D18" s="24">
        <f>+B18*C18</f>
        <v>0</v>
      </c>
      <c r="E18" s="40"/>
      <c r="F18" s="24">
        <v>75.06</v>
      </c>
      <c r="G18" s="24">
        <f>+E18*F18</f>
        <v>0</v>
      </c>
    </row>
    <row r="19" spans="1:7">
      <c r="A19" s="98" t="s">
        <v>284</v>
      </c>
      <c r="B19" s="40">
        <v>119163</v>
      </c>
      <c r="C19" s="24">
        <v>76.39</v>
      </c>
      <c r="D19" s="24">
        <f t="shared" ref="D19:D29" si="4">+B19*C19</f>
        <v>9102861.5700000003</v>
      </c>
      <c r="E19" s="40">
        <v>0</v>
      </c>
      <c r="F19" s="24">
        <v>72.84</v>
      </c>
      <c r="G19" s="24">
        <f t="shared" ref="G19:G29" si="5">+E19*F19</f>
        <v>0</v>
      </c>
    </row>
    <row r="20" spans="1:7">
      <c r="A20" s="98" t="s">
        <v>285</v>
      </c>
      <c r="B20" s="40">
        <v>167444</v>
      </c>
      <c r="C20" s="24">
        <v>71.05</v>
      </c>
      <c r="D20" s="24">
        <f t="shared" si="4"/>
        <v>11896896.199999999</v>
      </c>
      <c r="E20" s="40">
        <v>73958</v>
      </c>
      <c r="F20" s="24">
        <v>74.400000000000006</v>
      </c>
      <c r="G20" s="24">
        <f t="shared" si="5"/>
        <v>5502475.2000000002</v>
      </c>
    </row>
    <row r="21" spans="1:7">
      <c r="A21" s="98" t="s">
        <v>286</v>
      </c>
      <c r="B21" s="40">
        <v>104864</v>
      </c>
      <c r="C21" s="24">
        <v>75.94</v>
      </c>
      <c r="D21" s="24">
        <f t="shared" si="4"/>
        <v>7963372.1600000001</v>
      </c>
      <c r="E21" s="40">
        <v>125902</v>
      </c>
      <c r="F21" s="24">
        <v>84.15</v>
      </c>
      <c r="G21" s="24">
        <f t="shared" si="5"/>
        <v>10594653.300000001</v>
      </c>
    </row>
    <row r="22" spans="1:7">
      <c r="A22" s="98" t="s">
        <v>287</v>
      </c>
      <c r="B22" s="40">
        <v>12419</v>
      </c>
      <c r="C22" s="24">
        <v>68.33</v>
      </c>
      <c r="D22" s="24">
        <f t="shared" si="4"/>
        <v>848590.27</v>
      </c>
      <c r="E22" s="40">
        <v>164447</v>
      </c>
      <c r="F22" s="24">
        <v>75.72</v>
      </c>
      <c r="G22" s="24">
        <f t="shared" si="5"/>
        <v>12451926.84</v>
      </c>
    </row>
    <row r="23" spans="1:7">
      <c r="A23" s="98" t="s">
        <v>288</v>
      </c>
      <c r="B23" s="40">
        <v>25268</v>
      </c>
      <c r="C23" s="24">
        <v>70.48</v>
      </c>
      <c r="D23" s="24">
        <f t="shared" si="4"/>
        <v>1780888.6400000001</v>
      </c>
      <c r="E23" s="40">
        <v>71419</v>
      </c>
      <c r="F23" s="24">
        <v>75.709999999999994</v>
      </c>
      <c r="G23" s="24">
        <f t="shared" si="5"/>
        <v>5407132.4899999993</v>
      </c>
    </row>
    <row r="24" spans="1:7">
      <c r="A24" s="98" t="s">
        <v>289</v>
      </c>
      <c r="B24" s="40">
        <v>37561</v>
      </c>
      <c r="C24" s="24">
        <v>66.680000000000007</v>
      </c>
      <c r="D24" s="24">
        <f t="shared" si="4"/>
        <v>2504567.4800000004</v>
      </c>
      <c r="E24" s="40">
        <v>0</v>
      </c>
      <c r="F24" s="24">
        <v>69.72</v>
      </c>
      <c r="G24" s="24">
        <f t="shared" si="5"/>
        <v>0</v>
      </c>
    </row>
    <row r="25" spans="1:7">
      <c r="A25" s="98" t="s">
        <v>290</v>
      </c>
      <c r="B25" s="40">
        <v>0</v>
      </c>
      <c r="C25" s="24">
        <v>66.05</v>
      </c>
      <c r="D25" s="24">
        <f t="shared" si="4"/>
        <v>0</v>
      </c>
      <c r="E25" s="40">
        <v>0</v>
      </c>
      <c r="F25" s="24">
        <v>69.72</v>
      </c>
      <c r="G25" s="24">
        <f t="shared" si="5"/>
        <v>0</v>
      </c>
    </row>
    <row r="26" spans="1:7">
      <c r="A26" s="98" t="s">
        <v>296</v>
      </c>
      <c r="B26" s="40">
        <v>95241</v>
      </c>
      <c r="C26" s="24">
        <v>66.66</v>
      </c>
      <c r="D26" s="24">
        <f t="shared" si="4"/>
        <v>6348765.0599999996</v>
      </c>
      <c r="E26" s="40">
        <v>23961</v>
      </c>
      <c r="F26" s="24"/>
      <c r="G26" s="24">
        <f t="shared" si="5"/>
        <v>0</v>
      </c>
    </row>
    <row r="27" spans="1:7">
      <c r="A27" s="98" t="s">
        <v>293</v>
      </c>
      <c r="B27" s="40">
        <v>207054</v>
      </c>
      <c r="C27" s="24">
        <v>78.31</v>
      </c>
      <c r="D27" s="24">
        <f t="shared" si="4"/>
        <v>16214398.74</v>
      </c>
      <c r="E27" s="40"/>
      <c r="F27" s="24"/>
      <c r="G27" s="24">
        <f t="shared" si="5"/>
        <v>0</v>
      </c>
    </row>
    <row r="28" spans="1:7">
      <c r="A28" s="98" t="s">
        <v>297</v>
      </c>
      <c r="B28" s="40">
        <v>157165</v>
      </c>
      <c r="C28" s="24">
        <v>79.2</v>
      </c>
      <c r="D28" s="24">
        <f t="shared" si="4"/>
        <v>12447468</v>
      </c>
      <c r="E28" s="40"/>
      <c r="F28" s="24"/>
      <c r="G28" s="24">
        <f t="shared" si="5"/>
        <v>0</v>
      </c>
    </row>
    <row r="29" spans="1:7">
      <c r="A29" s="98" t="s">
        <v>295</v>
      </c>
      <c r="B29" s="40">
        <v>8177</v>
      </c>
      <c r="C29" s="24">
        <v>55.78</v>
      </c>
      <c r="D29" s="24">
        <f t="shared" si="4"/>
        <v>456113.06</v>
      </c>
      <c r="E29" s="40"/>
      <c r="F29" s="24"/>
      <c r="G29" s="24">
        <f t="shared" si="5"/>
        <v>0</v>
      </c>
    </row>
    <row r="30" spans="1:7">
      <c r="B30" s="354">
        <f>SUM(B18:B29)</f>
        <v>934356</v>
      </c>
      <c r="C30" s="354"/>
      <c r="D30" s="98"/>
      <c r="E30" s="354">
        <f>SUM(E19:E29)</f>
        <v>459687</v>
      </c>
      <c r="F30" s="354"/>
    </row>
  </sheetData>
  <mergeCells count="4">
    <mergeCell ref="D2:Q2"/>
    <mergeCell ref="D8:Q8"/>
    <mergeCell ref="B16:D16"/>
    <mergeCell ref="E16:G16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72"/>
  <sheetViews>
    <sheetView topLeftCell="A26" workbookViewId="0">
      <selection activeCell="E45" sqref="E45"/>
    </sheetView>
  </sheetViews>
  <sheetFormatPr baseColWidth="10" defaultRowHeight="15"/>
  <cols>
    <col min="1" max="1" width="0.85546875" customWidth="1"/>
    <col min="2" max="2" width="34.28515625" customWidth="1"/>
    <col min="3" max="3" width="17.140625" customWidth="1"/>
    <col min="4" max="4" width="6.140625" customWidth="1"/>
    <col min="5" max="5" width="18.5703125" customWidth="1"/>
    <col min="6" max="6" width="17.85546875" bestFit="1" customWidth="1"/>
    <col min="7" max="7" width="13.7109375" bestFit="1" customWidth="1"/>
    <col min="8" max="8" width="18.28515625" customWidth="1"/>
    <col min="9" max="9" width="13" customWidth="1"/>
    <col min="10" max="10" width="0.140625" hidden="1" customWidth="1"/>
    <col min="11" max="14" width="0" hidden="1" customWidth="1"/>
    <col min="15" max="15" width="10.5703125" customWidth="1"/>
    <col min="16" max="16" width="9.28515625" customWidth="1"/>
    <col min="17" max="17" width="18.7109375" customWidth="1"/>
    <col min="19" max="19" width="15.140625" bestFit="1" customWidth="1"/>
  </cols>
  <sheetData>
    <row r="1" spans="2:19" ht="0.75" customHeight="1" thickBot="1"/>
    <row r="2" spans="2:19" ht="15.75" hidden="1" thickBot="1"/>
    <row r="3" spans="2:19" ht="37.5" customHeight="1" thickBot="1">
      <c r="B3" s="408" t="s">
        <v>0</v>
      </c>
      <c r="C3" s="409"/>
    </row>
    <row r="4" spans="2:19" ht="15.75" thickBot="1">
      <c r="B4" s="410" t="s">
        <v>1</v>
      </c>
      <c r="C4" s="411"/>
      <c r="E4" s="33" t="s">
        <v>55</v>
      </c>
      <c r="F4" s="33" t="s">
        <v>56</v>
      </c>
      <c r="G4" s="33" t="s">
        <v>57</v>
      </c>
      <c r="H4" s="33" t="s">
        <v>66</v>
      </c>
      <c r="I4" s="33" t="s">
        <v>67</v>
      </c>
      <c r="J4" s="31"/>
      <c r="K4" s="31"/>
      <c r="L4" s="31"/>
      <c r="M4" s="31"/>
      <c r="N4" s="31"/>
      <c r="O4" s="31"/>
      <c r="P4" s="34"/>
      <c r="Q4" s="31" t="s">
        <v>58</v>
      </c>
    </row>
    <row r="5" spans="2:19" ht="21.75" customHeight="1" thickBot="1">
      <c r="B5" s="1" t="s">
        <v>2</v>
      </c>
      <c r="C5" s="5">
        <f>+Q5</f>
        <v>804004</v>
      </c>
      <c r="E5" s="30">
        <v>123772</v>
      </c>
      <c r="F5" s="13">
        <v>168620</v>
      </c>
      <c r="G5" s="13">
        <v>234497</v>
      </c>
      <c r="H5" s="13">
        <v>143675</v>
      </c>
      <c r="I5" s="13">
        <v>133440</v>
      </c>
      <c r="J5" s="13"/>
      <c r="K5" s="13"/>
      <c r="L5" s="13"/>
      <c r="M5" s="13"/>
      <c r="N5" s="13"/>
      <c r="O5" s="13"/>
      <c r="P5" s="14"/>
      <c r="Q5" s="29">
        <f>+E5+F5+G5+H5+I5+J5+K5+L5+M5+N5+O5+P5</f>
        <v>804004</v>
      </c>
    </row>
    <row r="6" spans="2:19" ht="15.75" thickBot="1">
      <c r="B6" s="2" t="s">
        <v>3</v>
      </c>
      <c r="C6" s="3"/>
      <c r="E6" s="35">
        <f t="shared" ref="E6:P6" si="0">+E5</f>
        <v>123772</v>
      </c>
      <c r="F6" s="36">
        <f t="shared" si="0"/>
        <v>168620</v>
      </c>
      <c r="G6" s="36">
        <f t="shared" si="0"/>
        <v>234497</v>
      </c>
      <c r="H6" s="36">
        <f t="shared" si="0"/>
        <v>143675</v>
      </c>
      <c r="I6" s="36">
        <f t="shared" si="0"/>
        <v>133440</v>
      </c>
      <c r="J6" s="36">
        <f t="shared" si="0"/>
        <v>0</v>
      </c>
      <c r="K6" s="36">
        <f t="shared" si="0"/>
        <v>0</v>
      </c>
      <c r="L6" s="36">
        <f t="shared" si="0"/>
        <v>0</v>
      </c>
      <c r="M6" s="36">
        <f t="shared" si="0"/>
        <v>0</v>
      </c>
      <c r="N6" s="36">
        <f t="shared" si="0"/>
        <v>0</v>
      </c>
      <c r="O6" s="36">
        <f t="shared" si="0"/>
        <v>0</v>
      </c>
      <c r="P6" s="36">
        <f t="shared" si="0"/>
        <v>0</v>
      </c>
      <c r="Q6" s="32">
        <f>+E6+F6+G6+H6+I6+J6+K6+L6+M6+N6+O6+P6</f>
        <v>804004</v>
      </c>
      <c r="R6" s="9"/>
      <c r="S6" s="27"/>
    </row>
    <row r="7" spans="2:19" ht="24" customHeight="1" thickBot="1">
      <c r="B7" s="4" t="s">
        <v>4</v>
      </c>
      <c r="C7" s="5">
        <f>+Q7</f>
        <v>297345</v>
      </c>
      <c r="E7" s="13">
        <v>82860</v>
      </c>
      <c r="F7" s="13">
        <v>27430</v>
      </c>
      <c r="G7" s="13">
        <v>46479</v>
      </c>
      <c r="H7" s="13">
        <v>72694</v>
      </c>
      <c r="I7" s="13">
        <v>67882</v>
      </c>
      <c r="J7" s="13"/>
      <c r="K7" s="13"/>
      <c r="L7" s="13"/>
      <c r="M7" s="13"/>
      <c r="N7" s="13"/>
      <c r="O7" s="13"/>
      <c r="P7" s="13"/>
      <c r="Q7" s="29">
        <f>+E7+F7+G7+H7+I7+J7+K7+L7+M7+N7+O7+P7</f>
        <v>297345</v>
      </c>
    </row>
    <row r="8" spans="2:19" ht="22.5" customHeight="1" thickBot="1">
      <c r="B8" s="6" t="s">
        <v>5</v>
      </c>
      <c r="C8" s="5">
        <f t="shared" ref="C8:C58" si="1">+Q8</f>
        <v>87680</v>
      </c>
      <c r="E8" s="13">
        <v>29653</v>
      </c>
      <c r="F8" s="13">
        <v>11833</v>
      </c>
      <c r="G8" s="13">
        <v>14896</v>
      </c>
      <c r="H8" s="13">
        <v>10330</v>
      </c>
      <c r="I8" s="13">
        <v>20968</v>
      </c>
      <c r="J8" s="13"/>
      <c r="K8" s="13"/>
      <c r="L8" s="13"/>
      <c r="M8" s="13"/>
      <c r="N8" s="13"/>
      <c r="O8" s="13"/>
      <c r="P8" s="13"/>
      <c r="Q8" s="29">
        <f t="shared" ref="Q8:Q57" si="2">+E8+F8+G8+H8+I8+J8+K8+L8+M8+N8+O8+P8</f>
        <v>87680</v>
      </c>
    </row>
    <row r="9" spans="2:19" ht="24.75" customHeight="1" thickBot="1">
      <c r="B9" s="4" t="s">
        <v>6</v>
      </c>
      <c r="C9" s="5">
        <f t="shared" si="1"/>
        <v>177693</v>
      </c>
      <c r="E9" s="13">
        <v>44327</v>
      </c>
      <c r="F9" s="13">
        <v>22250</v>
      </c>
      <c r="G9" s="13">
        <v>31615</v>
      </c>
      <c r="H9" s="13">
        <v>37894</v>
      </c>
      <c r="I9" s="13">
        <v>41607</v>
      </c>
      <c r="J9" s="13"/>
      <c r="K9" s="13"/>
      <c r="L9" s="13"/>
      <c r="M9" s="13"/>
      <c r="N9" s="13"/>
      <c r="O9" s="13"/>
      <c r="P9" s="13"/>
      <c r="Q9" s="29">
        <f t="shared" si="2"/>
        <v>177693</v>
      </c>
    </row>
    <row r="10" spans="2:19" ht="21" customHeight="1" thickBot="1">
      <c r="B10" s="6" t="s">
        <v>7</v>
      </c>
      <c r="C10" s="5">
        <f t="shared" si="1"/>
        <v>93654</v>
      </c>
      <c r="E10" s="13">
        <v>23382</v>
      </c>
      <c r="F10" s="13">
        <v>10118</v>
      </c>
      <c r="G10" s="13">
        <v>15400</v>
      </c>
      <c r="H10" s="13">
        <v>22601</v>
      </c>
      <c r="I10" s="13">
        <v>22153</v>
      </c>
      <c r="J10" s="13"/>
      <c r="K10" s="13"/>
      <c r="L10" s="13"/>
      <c r="M10" s="13"/>
      <c r="N10" s="13"/>
      <c r="O10" s="13"/>
      <c r="P10" s="13"/>
      <c r="Q10" s="29">
        <f t="shared" si="2"/>
        <v>93654</v>
      </c>
    </row>
    <row r="11" spans="2:19" ht="17.25" customHeight="1" thickBot="1">
      <c r="B11" s="4" t="s">
        <v>8</v>
      </c>
      <c r="C11" s="5">
        <f t="shared" si="1"/>
        <v>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29">
        <f t="shared" si="2"/>
        <v>0</v>
      </c>
    </row>
    <row r="12" spans="2:19" ht="21" customHeight="1" thickBot="1">
      <c r="B12" s="6" t="s">
        <v>9</v>
      </c>
      <c r="C12" s="5">
        <f t="shared" si="1"/>
        <v>84469</v>
      </c>
      <c r="E12" s="13">
        <v>30249</v>
      </c>
      <c r="F12" s="13">
        <v>8378</v>
      </c>
      <c r="G12" s="13">
        <v>11543</v>
      </c>
      <c r="H12" s="13">
        <v>16017</v>
      </c>
      <c r="I12" s="13">
        <v>18282</v>
      </c>
      <c r="J12" s="13"/>
      <c r="K12" s="13"/>
      <c r="L12" s="13"/>
      <c r="M12" s="13"/>
      <c r="N12" s="13"/>
      <c r="O12" s="13"/>
      <c r="P12" s="13"/>
      <c r="Q12" s="29">
        <f t="shared" si="2"/>
        <v>84469</v>
      </c>
    </row>
    <row r="13" spans="2:19" ht="22.5" customHeight="1" thickBot="1">
      <c r="B13" s="4" t="s">
        <v>10</v>
      </c>
      <c r="C13" s="5">
        <f t="shared" si="1"/>
        <v>113645</v>
      </c>
      <c r="E13" s="13">
        <v>19373</v>
      </c>
      <c r="F13" s="13">
        <v>16645</v>
      </c>
      <c r="G13" s="13">
        <v>23558</v>
      </c>
      <c r="H13" s="13">
        <v>29353</v>
      </c>
      <c r="I13" s="13">
        <v>24716</v>
      </c>
      <c r="J13" s="13"/>
      <c r="K13" s="13"/>
      <c r="L13" s="13"/>
      <c r="M13" s="13"/>
      <c r="N13" s="13"/>
      <c r="O13" s="13"/>
      <c r="P13" s="13"/>
      <c r="Q13" s="29">
        <f t="shared" si="2"/>
        <v>113645</v>
      </c>
    </row>
    <row r="14" spans="2:19" ht="19.5" customHeight="1" thickBot="1">
      <c r="B14" s="6" t="s">
        <v>11</v>
      </c>
      <c r="C14" s="5">
        <f t="shared" si="1"/>
        <v>126250</v>
      </c>
      <c r="E14" s="13">
        <v>35510</v>
      </c>
      <c r="F14" s="13">
        <v>27461</v>
      </c>
      <c r="G14" s="13">
        <v>24149</v>
      </c>
      <c r="H14" s="13">
        <v>19963</v>
      </c>
      <c r="I14" s="13">
        <v>19167</v>
      </c>
      <c r="J14" s="13"/>
      <c r="K14" s="13"/>
      <c r="L14" s="13"/>
      <c r="M14" s="13"/>
      <c r="N14" s="13"/>
      <c r="O14" s="13"/>
      <c r="P14" s="13"/>
      <c r="Q14" s="29">
        <f t="shared" si="2"/>
        <v>126250</v>
      </c>
    </row>
    <row r="15" spans="2:19" ht="15.75" thickBot="1">
      <c r="B15" s="4" t="s">
        <v>16</v>
      </c>
      <c r="C15" s="5">
        <f>+Q15</f>
        <v>56741</v>
      </c>
      <c r="E15" s="13">
        <v>18450</v>
      </c>
      <c r="F15" s="13">
        <v>8909</v>
      </c>
      <c r="G15" s="13">
        <v>10575</v>
      </c>
      <c r="H15" s="13">
        <v>10577</v>
      </c>
      <c r="I15" s="13">
        <v>8230</v>
      </c>
      <c r="J15" s="13"/>
      <c r="K15" s="13"/>
      <c r="L15" s="13"/>
      <c r="M15" s="13"/>
      <c r="N15" s="13"/>
      <c r="O15" s="13"/>
      <c r="P15" s="13"/>
      <c r="Q15" s="29">
        <f>+E15+F15+G15+H15+I15+J15+K15+L15+M15+N15+O15+P15</f>
        <v>56741</v>
      </c>
    </row>
    <row r="16" spans="2:19" ht="14.25" customHeight="1" thickBot="1">
      <c r="B16" s="6" t="s">
        <v>17</v>
      </c>
      <c r="C16" s="5">
        <f>+Q16</f>
        <v>55303</v>
      </c>
      <c r="E16" s="13">
        <v>15370</v>
      </c>
      <c r="F16" s="13">
        <v>9444</v>
      </c>
      <c r="G16" s="13">
        <v>11297</v>
      </c>
      <c r="H16" s="13">
        <v>8739</v>
      </c>
      <c r="I16" s="13">
        <v>10453</v>
      </c>
      <c r="J16" s="13"/>
      <c r="K16" s="13"/>
      <c r="L16" s="13"/>
      <c r="M16" s="13"/>
      <c r="N16" s="13"/>
      <c r="O16" s="13"/>
      <c r="P16" s="13"/>
      <c r="Q16" s="29">
        <f>+E16+F16+G16+H16+I16+J16+K16+L16+M16+N16+O16+P16</f>
        <v>55303</v>
      </c>
    </row>
    <row r="17" spans="2:17" ht="15.75" thickBot="1">
      <c r="B17" s="4" t="s">
        <v>14</v>
      </c>
      <c r="C17" s="5">
        <f>+Q17</f>
        <v>34091</v>
      </c>
      <c r="E17" s="13">
        <v>8164</v>
      </c>
      <c r="F17" s="13">
        <v>5612</v>
      </c>
      <c r="G17" s="13">
        <v>6925</v>
      </c>
      <c r="H17" s="13">
        <v>7433</v>
      </c>
      <c r="I17" s="13">
        <v>5957</v>
      </c>
      <c r="J17" s="13"/>
      <c r="K17" s="13"/>
      <c r="L17" s="13"/>
      <c r="M17" s="13"/>
      <c r="N17" s="13"/>
      <c r="O17" s="13"/>
      <c r="P17" s="13"/>
      <c r="Q17" s="29">
        <f>+E17+F17+G17+H17+I17+J17+K17+L17+M17+N17+O17+P17</f>
        <v>34091</v>
      </c>
    </row>
    <row r="18" spans="2:17" ht="15.75" thickBot="1">
      <c r="B18" s="4" t="s">
        <v>12</v>
      </c>
      <c r="C18" s="5">
        <f t="shared" si="1"/>
        <v>35449</v>
      </c>
      <c r="E18" s="13">
        <v>8781</v>
      </c>
      <c r="F18" s="13">
        <v>6535</v>
      </c>
      <c r="G18" s="13">
        <v>7153</v>
      </c>
      <c r="H18" s="13">
        <v>7084</v>
      </c>
      <c r="I18" s="13">
        <v>5896</v>
      </c>
      <c r="J18" s="13"/>
      <c r="K18" s="13"/>
      <c r="L18" s="13"/>
      <c r="M18" s="13"/>
      <c r="N18" s="13"/>
      <c r="O18" s="13"/>
      <c r="P18" s="13"/>
      <c r="Q18" s="29">
        <f t="shared" si="2"/>
        <v>35449</v>
      </c>
    </row>
    <row r="19" spans="2:17" ht="16.5" customHeight="1" thickBot="1">
      <c r="B19" s="6" t="s">
        <v>13</v>
      </c>
      <c r="C19" s="5">
        <f t="shared" si="1"/>
        <v>40343</v>
      </c>
      <c r="E19" s="13">
        <v>11415</v>
      </c>
      <c r="F19" s="13">
        <v>9274</v>
      </c>
      <c r="G19" s="13">
        <v>7147</v>
      </c>
      <c r="H19" s="13">
        <v>6797</v>
      </c>
      <c r="I19" s="13">
        <v>5710</v>
      </c>
      <c r="J19" s="13"/>
      <c r="K19" s="13"/>
      <c r="L19" s="13"/>
      <c r="M19" s="13"/>
      <c r="N19" s="13"/>
      <c r="O19" s="13"/>
      <c r="P19" s="13"/>
      <c r="Q19" s="29">
        <f t="shared" si="2"/>
        <v>40343</v>
      </c>
    </row>
    <row r="20" spans="2:17" ht="15.75" thickBot="1">
      <c r="B20" s="6" t="s">
        <v>15</v>
      </c>
      <c r="C20" s="5">
        <f t="shared" si="1"/>
        <v>77314</v>
      </c>
      <c r="E20" s="13">
        <v>24273</v>
      </c>
      <c r="F20" s="13">
        <v>14175</v>
      </c>
      <c r="G20" s="13">
        <v>14093</v>
      </c>
      <c r="H20" s="13">
        <v>12290</v>
      </c>
      <c r="I20" s="13">
        <v>12483</v>
      </c>
      <c r="J20" s="13"/>
      <c r="K20" s="13"/>
      <c r="L20" s="13"/>
      <c r="M20" s="13"/>
      <c r="N20" s="13"/>
      <c r="O20" s="13"/>
      <c r="P20" s="13"/>
      <c r="Q20" s="29">
        <f t="shared" si="2"/>
        <v>77314</v>
      </c>
    </row>
    <row r="21" spans="2:17" ht="15.75" thickBot="1">
      <c r="B21" s="4" t="s">
        <v>18</v>
      </c>
      <c r="C21" s="5">
        <f t="shared" si="1"/>
        <v>31925</v>
      </c>
      <c r="E21" s="13">
        <v>9408</v>
      </c>
      <c r="F21" s="13">
        <v>4069</v>
      </c>
      <c r="G21" s="13">
        <v>5891</v>
      </c>
      <c r="H21" s="13">
        <v>6600</v>
      </c>
      <c r="I21" s="13">
        <v>5957</v>
      </c>
      <c r="J21" s="13"/>
      <c r="K21" s="13"/>
      <c r="L21" s="13"/>
      <c r="M21" s="13"/>
      <c r="N21" s="13"/>
      <c r="O21" s="13"/>
      <c r="P21" s="13"/>
      <c r="Q21" s="29">
        <f t="shared" si="2"/>
        <v>31925</v>
      </c>
    </row>
    <row r="22" spans="2:17" ht="15.75" thickBot="1">
      <c r="B22" s="4"/>
      <c r="C22" s="5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9"/>
    </row>
    <row r="23" spans="2:17" ht="18.75" customHeight="1" thickBot="1">
      <c r="B23" s="6" t="s">
        <v>19</v>
      </c>
      <c r="C23" s="5">
        <f t="shared" si="1"/>
        <v>53336</v>
      </c>
      <c r="E23" s="13">
        <v>16982</v>
      </c>
      <c r="F23" s="13">
        <v>7537</v>
      </c>
      <c r="G23" s="13">
        <v>10165</v>
      </c>
      <c r="H23" s="13">
        <v>9971</v>
      </c>
      <c r="I23" s="13">
        <v>8681</v>
      </c>
      <c r="J23" s="13"/>
      <c r="K23" s="13"/>
      <c r="L23" s="13"/>
      <c r="M23" s="13"/>
      <c r="N23" s="13"/>
      <c r="O23" s="13"/>
      <c r="P23" s="13"/>
      <c r="Q23" s="29">
        <f t="shared" si="2"/>
        <v>53336</v>
      </c>
    </row>
    <row r="24" spans="2:17" ht="20.25" customHeight="1" thickBot="1">
      <c r="B24" s="4" t="s">
        <v>20</v>
      </c>
      <c r="C24" s="5">
        <f t="shared" si="1"/>
        <v>84630</v>
      </c>
      <c r="E24" s="13">
        <v>21948</v>
      </c>
      <c r="F24" s="13">
        <v>19852</v>
      </c>
      <c r="G24" s="13">
        <v>18230</v>
      </c>
      <c r="H24" s="13">
        <v>13096</v>
      </c>
      <c r="I24" s="13">
        <v>11504</v>
      </c>
      <c r="J24" s="13"/>
      <c r="K24" s="13"/>
      <c r="L24" s="13"/>
      <c r="M24" s="13"/>
      <c r="N24" s="13"/>
      <c r="O24" s="13"/>
      <c r="P24" s="13"/>
      <c r="Q24" s="29">
        <f t="shared" si="2"/>
        <v>84630</v>
      </c>
    </row>
    <row r="25" spans="2:17" ht="15" customHeight="1" thickBot="1">
      <c r="B25" s="6" t="s">
        <v>21</v>
      </c>
      <c r="C25" s="5">
        <f t="shared" si="1"/>
        <v>38768</v>
      </c>
      <c r="E25" s="13">
        <v>7337</v>
      </c>
      <c r="F25" s="13">
        <v>7270</v>
      </c>
      <c r="G25" s="13">
        <v>8342</v>
      </c>
      <c r="H25" s="13">
        <v>8120</v>
      </c>
      <c r="I25" s="13">
        <v>7699</v>
      </c>
      <c r="J25" s="13"/>
      <c r="K25" s="13"/>
      <c r="L25" s="13"/>
      <c r="M25" s="13"/>
      <c r="N25" s="13"/>
      <c r="O25" s="13"/>
      <c r="P25" s="13"/>
      <c r="Q25" s="29">
        <f t="shared" si="2"/>
        <v>38768</v>
      </c>
    </row>
    <row r="26" spans="2:17" ht="15.75" thickBot="1">
      <c r="B26" s="4" t="s">
        <v>22</v>
      </c>
      <c r="C26" s="5">
        <f t="shared" si="1"/>
        <v>103633</v>
      </c>
      <c r="E26" s="13">
        <v>17449</v>
      </c>
      <c r="F26" s="13">
        <v>15490</v>
      </c>
      <c r="G26" s="13">
        <v>20795</v>
      </c>
      <c r="H26" s="13">
        <v>24880</v>
      </c>
      <c r="I26" s="13">
        <v>25019</v>
      </c>
      <c r="J26" s="13"/>
      <c r="K26" s="13"/>
      <c r="L26" s="13"/>
      <c r="M26" s="13"/>
      <c r="N26" s="13"/>
      <c r="O26" s="13"/>
      <c r="P26" s="13"/>
      <c r="Q26" s="29">
        <f t="shared" si="2"/>
        <v>103633</v>
      </c>
    </row>
    <row r="27" spans="2:17" ht="15" customHeight="1" thickBot="1">
      <c r="B27" s="17" t="s">
        <v>62</v>
      </c>
      <c r="C27" s="5">
        <f t="shared" si="1"/>
        <v>0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9">
        <f t="shared" si="2"/>
        <v>0</v>
      </c>
    </row>
    <row r="28" spans="2:17" ht="15" customHeight="1" thickBot="1">
      <c r="B28" s="4" t="s">
        <v>63</v>
      </c>
      <c r="C28" s="5">
        <f t="shared" si="1"/>
        <v>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29">
        <f t="shared" si="2"/>
        <v>0</v>
      </c>
    </row>
    <row r="29" spans="2:17" ht="15" customHeight="1" thickBot="1">
      <c r="B29" s="18" t="s">
        <v>64</v>
      </c>
      <c r="C29" s="5">
        <f t="shared" si="1"/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29">
        <f t="shared" si="2"/>
        <v>0</v>
      </c>
    </row>
    <row r="30" spans="2:17" ht="14.25" customHeight="1" thickBot="1">
      <c r="B30" s="4" t="s">
        <v>65</v>
      </c>
      <c r="C30" s="5">
        <f t="shared" si="1"/>
        <v>0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29">
        <f t="shared" si="2"/>
        <v>0</v>
      </c>
    </row>
    <row r="31" spans="2:17" ht="15" customHeight="1" thickBot="1">
      <c r="B31" s="6" t="s">
        <v>23</v>
      </c>
      <c r="C31" s="5">
        <f t="shared" si="1"/>
        <v>66106</v>
      </c>
      <c r="E31" s="13">
        <v>20430</v>
      </c>
      <c r="F31" s="13">
        <v>14930</v>
      </c>
      <c r="G31" s="13">
        <v>11071</v>
      </c>
      <c r="H31" s="13">
        <v>10413</v>
      </c>
      <c r="I31" s="13">
        <v>9262</v>
      </c>
      <c r="J31" s="13"/>
      <c r="K31" s="13"/>
      <c r="L31" s="13"/>
      <c r="M31" s="13"/>
      <c r="N31" s="13"/>
      <c r="O31" s="13"/>
      <c r="P31" s="13"/>
      <c r="Q31" s="29">
        <f t="shared" si="2"/>
        <v>66106</v>
      </c>
    </row>
    <row r="32" spans="2:17" ht="14.25" customHeight="1" thickBot="1">
      <c r="B32" s="11" t="s">
        <v>24</v>
      </c>
      <c r="C32" s="5">
        <f t="shared" si="1"/>
        <v>47216</v>
      </c>
      <c r="E32" s="13">
        <v>11408</v>
      </c>
      <c r="F32" s="13">
        <v>10649</v>
      </c>
      <c r="G32" s="13">
        <v>9341</v>
      </c>
      <c r="H32" s="13">
        <v>8574</v>
      </c>
      <c r="I32" s="13">
        <v>7244</v>
      </c>
      <c r="J32" s="13"/>
      <c r="K32" s="13"/>
      <c r="L32" s="13"/>
      <c r="M32" s="13"/>
      <c r="N32" s="13"/>
      <c r="O32" s="13"/>
      <c r="P32" s="13"/>
      <c r="Q32" s="29">
        <f t="shared" si="2"/>
        <v>47216</v>
      </c>
    </row>
    <row r="33" spans="2:17" ht="18" customHeight="1" thickBot="1">
      <c r="B33" s="12" t="s">
        <v>60</v>
      </c>
      <c r="C33" s="5">
        <f t="shared" si="1"/>
        <v>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29">
        <f t="shared" si="2"/>
        <v>0</v>
      </c>
    </row>
    <row r="34" spans="2:17" ht="15" customHeight="1" thickBot="1">
      <c r="B34" s="4" t="s">
        <v>61</v>
      </c>
      <c r="C34" s="5">
        <f t="shared" si="1"/>
        <v>0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29">
        <f t="shared" si="2"/>
        <v>0</v>
      </c>
    </row>
    <row r="35" spans="2:17" ht="16.5" customHeight="1" thickBot="1">
      <c r="B35" s="6" t="s">
        <v>25</v>
      </c>
      <c r="C35" s="5">
        <f t="shared" si="1"/>
        <v>0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29">
        <f t="shared" si="2"/>
        <v>0</v>
      </c>
    </row>
    <row r="36" spans="2:17" ht="15.75" thickBot="1">
      <c r="B36" s="4" t="s">
        <v>26</v>
      </c>
      <c r="C36" s="5">
        <f t="shared" si="1"/>
        <v>49006</v>
      </c>
      <c r="E36" s="13">
        <v>11457</v>
      </c>
      <c r="F36" s="13">
        <v>11104</v>
      </c>
      <c r="G36" s="13">
        <v>10104</v>
      </c>
      <c r="H36" s="13">
        <v>8950</v>
      </c>
      <c r="I36" s="13">
        <v>7391</v>
      </c>
      <c r="J36" s="13"/>
      <c r="K36" s="13"/>
      <c r="L36" s="13"/>
      <c r="M36" s="13"/>
      <c r="N36" s="13"/>
      <c r="O36" s="13"/>
      <c r="P36" s="13"/>
      <c r="Q36" s="29">
        <f t="shared" si="2"/>
        <v>49006</v>
      </c>
    </row>
    <row r="37" spans="2:17" ht="15.75" thickBot="1">
      <c r="B37" s="1" t="s">
        <v>27</v>
      </c>
      <c r="C37" s="5">
        <f t="shared" si="1"/>
        <v>43685</v>
      </c>
      <c r="E37" s="13">
        <v>16645</v>
      </c>
      <c r="F37" s="13">
        <v>6715</v>
      </c>
      <c r="G37" s="13">
        <v>7627</v>
      </c>
      <c r="H37" s="13">
        <v>7168</v>
      </c>
      <c r="I37" s="13">
        <v>5530</v>
      </c>
      <c r="J37" s="13"/>
      <c r="K37" s="13"/>
      <c r="L37" s="13"/>
      <c r="M37" s="13"/>
      <c r="N37" s="13"/>
      <c r="O37" s="13"/>
      <c r="P37" s="13"/>
      <c r="Q37" s="29">
        <f t="shared" si="2"/>
        <v>43685</v>
      </c>
    </row>
    <row r="38" spans="2:17" ht="15.75" thickBot="1">
      <c r="B38" s="4" t="s">
        <v>28</v>
      </c>
      <c r="C38" s="5">
        <f t="shared" si="1"/>
        <v>66322</v>
      </c>
      <c r="E38" s="13">
        <v>11250</v>
      </c>
      <c r="F38" s="13">
        <v>8056</v>
      </c>
      <c r="G38" s="13">
        <v>12731</v>
      </c>
      <c r="H38" s="13">
        <v>17210</v>
      </c>
      <c r="I38" s="13">
        <v>17075</v>
      </c>
      <c r="J38" s="13"/>
      <c r="K38" s="13"/>
      <c r="L38" s="13"/>
      <c r="M38" s="13"/>
      <c r="N38" s="13"/>
      <c r="O38" s="13"/>
      <c r="P38" s="13"/>
      <c r="Q38" s="29">
        <f t="shared" si="2"/>
        <v>66322</v>
      </c>
    </row>
    <row r="39" spans="2:17" ht="15.75" thickBot="1">
      <c r="B39" s="1" t="s">
        <v>29</v>
      </c>
      <c r="C39" s="5">
        <f t="shared" si="1"/>
        <v>10221</v>
      </c>
      <c r="E39" s="13"/>
      <c r="F39" s="13">
        <v>2100</v>
      </c>
      <c r="G39" s="13">
        <v>2464</v>
      </c>
      <c r="H39" s="13">
        <v>2997</v>
      </c>
      <c r="I39" s="13">
        <v>2660</v>
      </c>
      <c r="J39" s="13"/>
      <c r="K39" s="13"/>
      <c r="L39" s="13"/>
      <c r="M39" s="13"/>
      <c r="N39" s="13"/>
      <c r="O39" s="13"/>
      <c r="P39" s="13"/>
      <c r="Q39" s="29">
        <f t="shared" si="2"/>
        <v>10221</v>
      </c>
    </row>
    <row r="40" spans="2:17" ht="15.75" thickBot="1">
      <c r="B40" s="4" t="s">
        <v>30</v>
      </c>
      <c r="C40" s="5">
        <f t="shared" si="1"/>
        <v>2652</v>
      </c>
      <c r="E40" s="13"/>
      <c r="F40" s="13">
        <v>1260</v>
      </c>
      <c r="G40" s="13">
        <v>1392</v>
      </c>
      <c r="H40" s="13"/>
      <c r="I40" s="13"/>
      <c r="J40" s="13"/>
      <c r="K40" s="13"/>
      <c r="L40" s="13"/>
      <c r="M40" s="13"/>
      <c r="N40" s="13"/>
      <c r="O40" s="13"/>
      <c r="P40" s="13"/>
      <c r="Q40" s="29">
        <f t="shared" si="2"/>
        <v>2652</v>
      </c>
    </row>
    <row r="41" spans="2:17" ht="14.25" customHeight="1" thickBot="1">
      <c r="B41" s="6" t="s">
        <v>31</v>
      </c>
      <c r="C41" s="5">
        <f t="shared" si="1"/>
        <v>66635</v>
      </c>
      <c r="E41" s="13">
        <v>17171</v>
      </c>
      <c r="F41" s="13">
        <v>11153</v>
      </c>
      <c r="G41" s="13">
        <v>12515</v>
      </c>
      <c r="H41" s="13">
        <v>13124</v>
      </c>
      <c r="I41" s="13">
        <v>12672</v>
      </c>
      <c r="J41" s="13"/>
      <c r="K41" s="13"/>
      <c r="L41" s="13"/>
      <c r="M41" s="13"/>
      <c r="N41" s="13"/>
      <c r="O41" s="13"/>
      <c r="P41" s="13"/>
      <c r="Q41" s="29">
        <f t="shared" si="2"/>
        <v>66635</v>
      </c>
    </row>
    <row r="42" spans="2:17" ht="15.75" thickBot="1">
      <c r="B42" s="4" t="s">
        <v>32</v>
      </c>
      <c r="C42" s="5">
        <f t="shared" si="1"/>
        <v>48736</v>
      </c>
      <c r="E42" s="13">
        <v>7044</v>
      </c>
      <c r="F42" s="13">
        <v>9004</v>
      </c>
      <c r="G42" s="13">
        <v>10884</v>
      </c>
      <c r="H42" s="13">
        <v>11237</v>
      </c>
      <c r="I42" s="13">
        <v>10567</v>
      </c>
      <c r="J42" s="13"/>
      <c r="K42" s="13"/>
      <c r="L42" s="13"/>
      <c r="M42" s="13"/>
      <c r="N42" s="13"/>
      <c r="O42" s="13"/>
      <c r="P42" s="13"/>
      <c r="Q42" s="29">
        <f t="shared" si="2"/>
        <v>48736</v>
      </c>
    </row>
    <row r="43" spans="2:17" ht="18" customHeight="1" thickBot="1">
      <c r="B43" s="6" t="s">
        <v>33</v>
      </c>
      <c r="C43" s="5">
        <f t="shared" si="1"/>
        <v>59461</v>
      </c>
      <c r="E43" s="13">
        <v>16664</v>
      </c>
      <c r="F43" s="13">
        <v>10750</v>
      </c>
      <c r="G43" s="13">
        <v>12100</v>
      </c>
      <c r="H43" s="13">
        <v>10450</v>
      </c>
      <c r="I43" s="13">
        <v>9497</v>
      </c>
      <c r="J43" s="13"/>
      <c r="K43" s="13"/>
      <c r="L43" s="13"/>
      <c r="M43" s="13"/>
      <c r="N43" s="13"/>
      <c r="O43" s="13"/>
      <c r="P43" s="13"/>
      <c r="Q43" s="29">
        <f t="shared" si="2"/>
        <v>59461</v>
      </c>
    </row>
    <row r="44" spans="2:17" ht="15.75" thickBot="1">
      <c r="B44" s="4" t="s">
        <v>34</v>
      </c>
      <c r="C44" s="5">
        <f t="shared" si="1"/>
        <v>30308</v>
      </c>
      <c r="E44" s="13">
        <v>7306</v>
      </c>
      <c r="F44" s="13">
        <v>5386</v>
      </c>
      <c r="G44" s="13">
        <v>5907</v>
      </c>
      <c r="H44" s="13">
        <v>6652</v>
      </c>
      <c r="I44" s="13">
        <v>5057</v>
      </c>
      <c r="J44" s="13"/>
      <c r="K44" s="13"/>
      <c r="L44" s="13"/>
      <c r="M44" s="13"/>
      <c r="N44" s="13"/>
      <c r="O44" s="13"/>
      <c r="P44" s="13"/>
      <c r="Q44" s="29">
        <f t="shared" si="2"/>
        <v>30308</v>
      </c>
    </row>
    <row r="45" spans="2:17" ht="21" customHeight="1" thickBot="1">
      <c r="B45" s="6" t="s">
        <v>68</v>
      </c>
      <c r="C45" s="5">
        <f t="shared" si="1"/>
        <v>47407</v>
      </c>
      <c r="E45" s="13">
        <v>8758</v>
      </c>
      <c r="F45" s="13">
        <v>8588</v>
      </c>
      <c r="G45" s="13">
        <v>9348</v>
      </c>
      <c r="H45" s="13">
        <v>11598</v>
      </c>
      <c r="I45" s="13">
        <v>9115</v>
      </c>
      <c r="J45" s="13"/>
      <c r="K45" s="13"/>
      <c r="L45" s="13"/>
      <c r="M45" s="13"/>
      <c r="N45" s="13"/>
      <c r="O45" s="13"/>
      <c r="P45" s="13"/>
      <c r="Q45" s="29">
        <f t="shared" si="2"/>
        <v>47407</v>
      </c>
    </row>
    <row r="46" spans="2:17" ht="16.5" customHeight="1" thickBot="1">
      <c r="B46" s="4" t="s">
        <v>35</v>
      </c>
      <c r="C46" s="5">
        <f t="shared" si="1"/>
        <v>44941</v>
      </c>
      <c r="E46" s="13">
        <v>10772</v>
      </c>
      <c r="F46" s="13">
        <v>7686</v>
      </c>
      <c r="G46" s="13">
        <v>9547</v>
      </c>
      <c r="H46" s="13">
        <v>9267</v>
      </c>
      <c r="I46" s="13">
        <v>7669</v>
      </c>
      <c r="J46" s="13"/>
      <c r="K46" s="13"/>
      <c r="L46" s="13"/>
      <c r="M46" s="13"/>
      <c r="N46" s="13"/>
      <c r="O46" s="13"/>
      <c r="P46" s="13"/>
      <c r="Q46" s="29">
        <f t="shared" si="2"/>
        <v>44941</v>
      </c>
    </row>
    <row r="47" spans="2:17" ht="15.75" thickBot="1">
      <c r="B47" s="6" t="s">
        <v>36</v>
      </c>
      <c r="C47" s="5">
        <f t="shared" si="1"/>
        <v>38967</v>
      </c>
      <c r="E47" s="13">
        <v>8477</v>
      </c>
      <c r="F47" s="13">
        <v>8079</v>
      </c>
      <c r="G47" s="13">
        <v>8527</v>
      </c>
      <c r="H47" s="13">
        <v>7718</v>
      </c>
      <c r="I47" s="13">
        <v>6166</v>
      </c>
      <c r="J47" s="13"/>
      <c r="K47" s="13"/>
      <c r="L47" s="13"/>
      <c r="M47" s="13"/>
      <c r="N47" s="13"/>
      <c r="O47" s="13"/>
      <c r="P47" s="13"/>
      <c r="Q47" s="29">
        <f t="shared" si="2"/>
        <v>38967</v>
      </c>
    </row>
    <row r="48" spans="2:17" ht="18" customHeight="1" thickBot="1">
      <c r="B48" s="4" t="s">
        <v>37</v>
      </c>
      <c r="C48" s="5">
        <f t="shared" si="1"/>
        <v>30583</v>
      </c>
      <c r="E48" s="13">
        <v>7303</v>
      </c>
      <c r="F48" s="13">
        <v>7280</v>
      </c>
      <c r="G48" s="13">
        <v>5481</v>
      </c>
      <c r="H48" s="13">
        <v>5844</v>
      </c>
      <c r="I48" s="13">
        <v>4675</v>
      </c>
      <c r="J48" s="13"/>
      <c r="K48" s="13"/>
      <c r="L48" s="13"/>
      <c r="M48" s="13"/>
      <c r="N48" s="13"/>
      <c r="O48" s="13"/>
      <c r="P48" s="13"/>
      <c r="Q48" s="29">
        <f t="shared" si="2"/>
        <v>30583</v>
      </c>
    </row>
    <row r="49" spans="2:19" ht="20.25" customHeight="1" thickBot="1">
      <c r="B49" s="6" t="s">
        <v>38</v>
      </c>
      <c r="C49" s="5">
        <f t="shared" si="1"/>
        <v>93237</v>
      </c>
      <c r="E49" s="13">
        <v>42375</v>
      </c>
      <c r="F49" s="13">
        <v>12578</v>
      </c>
      <c r="G49" s="13">
        <v>12760</v>
      </c>
      <c r="H49" s="13">
        <v>13656</v>
      </c>
      <c r="I49" s="13">
        <v>11868</v>
      </c>
      <c r="J49" s="13"/>
      <c r="K49" s="13"/>
      <c r="L49" s="13"/>
      <c r="M49" s="13"/>
      <c r="N49" s="13"/>
      <c r="O49" s="13"/>
      <c r="P49" s="13"/>
      <c r="Q49" s="29">
        <f t="shared" si="2"/>
        <v>93237</v>
      </c>
    </row>
    <row r="50" spans="2:19" ht="20.25" customHeight="1" thickBot="1">
      <c r="B50" s="4" t="s">
        <v>39</v>
      </c>
      <c r="C50" s="5">
        <f t="shared" si="1"/>
        <v>51628</v>
      </c>
      <c r="E50" s="13">
        <v>10400</v>
      </c>
      <c r="F50" s="13">
        <v>11031</v>
      </c>
      <c r="G50" s="13">
        <v>13060</v>
      </c>
      <c r="H50" s="13">
        <v>9737</v>
      </c>
      <c r="I50" s="13">
        <v>7400</v>
      </c>
      <c r="J50" s="13"/>
      <c r="K50" s="13"/>
      <c r="L50" s="13"/>
      <c r="M50" s="13"/>
      <c r="N50" s="13"/>
      <c r="O50" s="13"/>
      <c r="P50" s="13"/>
      <c r="Q50" s="29">
        <f t="shared" si="2"/>
        <v>51628</v>
      </c>
    </row>
    <row r="51" spans="2:19" ht="15.75" thickBot="1">
      <c r="B51" s="6" t="s">
        <v>40</v>
      </c>
      <c r="C51" s="5">
        <f t="shared" si="1"/>
        <v>39354</v>
      </c>
      <c r="E51" s="13">
        <v>6165</v>
      </c>
      <c r="F51" s="13">
        <v>8755</v>
      </c>
      <c r="G51" s="13">
        <v>9009</v>
      </c>
      <c r="H51" s="13">
        <v>8473</v>
      </c>
      <c r="I51" s="13">
        <v>6952</v>
      </c>
      <c r="J51" s="13"/>
      <c r="K51" s="13"/>
      <c r="L51" s="13"/>
      <c r="M51" s="13"/>
      <c r="N51" s="13"/>
      <c r="O51" s="13"/>
      <c r="P51" s="13"/>
      <c r="Q51" s="29">
        <f t="shared" si="2"/>
        <v>39354</v>
      </c>
    </row>
    <row r="52" spans="2:19" ht="15.75" thickBot="1">
      <c r="B52" s="4" t="s">
        <v>41</v>
      </c>
      <c r="C52" s="5">
        <f t="shared" si="1"/>
        <v>23315</v>
      </c>
      <c r="E52" s="13">
        <v>3125</v>
      </c>
      <c r="F52" s="13">
        <v>3682</v>
      </c>
      <c r="G52" s="13">
        <v>4870</v>
      </c>
      <c r="H52" s="13">
        <v>6365</v>
      </c>
      <c r="I52" s="13">
        <v>5273</v>
      </c>
      <c r="J52" s="13"/>
      <c r="K52" s="13"/>
      <c r="L52" s="13"/>
      <c r="M52" s="13"/>
      <c r="N52" s="13"/>
      <c r="O52" s="13"/>
      <c r="P52" s="13"/>
      <c r="Q52" s="29">
        <f t="shared" si="2"/>
        <v>23315</v>
      </c>
    </row>
    <row r="53" spans="2:19" ht="19.5" customHeight="1" thickBot="1">
      <c r="B53" s="6" t="s">
        <v>42</v>
      </c>
      <c r="C53" s="5">
        <f t="shared" si="1"/>
        <v>59955</v>
      </c>
      <c r="E53" s="13">
        <v>10268</v>
      </c>
      <c r="F53" s="13">
        <v>9228</v>
      </c>
      <c r="G53" s="13">
        <v>11133</v>
      </c>
      <c r="H53" s="13">
        <v>14047</v>
      </c>
      <c r="I53" s="13">
        <v>15279</v>
      </c>
      <c r="J53" s="13"/>
      <c r="K53" s="13"/>
      <c r="L53" s="13"/>
      <c r="M53" s="13"/>
      <c r="N53" s="13"/>
      <c r="O53" s="13"/>
      <c r="P53" s="13"/>
      <c r="Q53" s="29">
        <f t="shared" si="2"/>
        <v>59955</v>
      </c>
    </row>
    <row r="54" spans="2:19" ht="15.75" thickBot="1">
      <c r="B54" s="4" t="s">
        <v>69</v>
      </c>
      <c r="C54" s="5">
        <f t="shared" si="1"/>
        <v>45395</v>
      </c>
      <c r="E54" s="13">
        <v>15558</v>
      </c>
      <c r="F54" s="13">
        <v>9345</v>
      </c>
      <c r="G54" s="13">
        <v>8447</v>
      </c>
      <c r="H54" s="13">
        <v>6338</v>
      </c>
      <c r="I54" s="13">
        <v>5707</v>
      </c>
      <c r="J54" s="13"/>
      <c r="K54" s="13"/>
      <c r="L54" s="13"/>
      <c r="M54" s="13"/>
      <c r="N54" s="13"/>
      <c r="O54" s="13"/>
      <c r="P54" s="13"/>
      <c r="Q54" s="29">
        <f t="shared" si="2"/>
        <v>45395</v>
      </c>
    </row>
    <row r="55" spans="2:19" ht="15.75" thickBot="1">
      <c r="B55" s="6" t="s">
        <v>43</v>
      </c>
      <c r="C55" s="5">
        <f t="shared" si="1"/>
        <v>43658</v>
      </c>
      <c r="E55" s="13">
        <v>13800</v>
      </c>
      <c r="F55" s="13">
        <v>9340</v>
      </c>
      <c r="G55" s="13">
        <v>7220</v>
      </c>
      <c r="H55" s="13">
        <v>6768</v>
      </c>
      <c r="I55" s="13">
        <v>6530</v>
      </c>
      <c r="J55" s="13"/>
      <c r="K55" s="13"/>
      <c r="L55" s="13"/>
      <c r="M55" s="13"/>
      <c r="N55" s="13"/>
      <c r="O55" s="13"/>
      <c r="P55" s="13"/>
      <c r="Q55" s="29">
        <f t="shared" si="2"/>
        <v>43658</v>
      </c>
    </row>
    <row r="56" spans="2:19" ht="15.75" thickBot="1">
      <c r="B56" s="4" t="s">
        <v>44</v>
      </c>
      <c r="C56" s="5">
        <f t="shared" si="1"/>
        <v>88587</v>
      </c>
      <c r="E56" s="13">
        <v>27181</v>
      </c>
      <c r="F56" s="13">
        <v>20983</v>
      </c>
      <c r="G56" s="13">
        <v>19794</v>
      </c>
      <c r="H56" s="13">
        <v>10227</v>
      </c>
      <c r="I56" s="13">
        <v>10402</v>
      </c>
      <c r="J56" s="13"/>
      <c r="K56" s="13"/>
      <c r="L56" s="13"/>
      <c r="M56" s="13"/>
      <c r="N56" s="13"/>
      <c r="O56" s="13"/>
      <c r="P56" s="13"/>
      <c r="Q56" s="29">
        <f t="shared" si="2"/>
        <v>88587</v>
      </c>
    </row>
    <row r="57" spans="2:19" ht="15.75" thickBot="1">
      <c r="B57" s="6" t="s">
        <v>45</v>
      </c>
      <c r="C57" s="5">
        <f t="shared" si="1"/>
        <v>65083</v>
      </c>
      <c r="E57" s="13">
        <v>15450</v>
      </c>
      <c r="F57" s="13">
        <v>13206</v>
      </c>
      <c r="G57" s="13">
        <v>13855</v>
      </c>
      <c r="H57" s="13">
        <v>13077</v>
      </c>
      <c r="I57" s="13">
        <v>9495</v>
      </c>
      <c r="J57" s="13"/>
      <c r="K57" s="13"/>
      <c r="L57" s="13"/>
      <c r="M57" s="13"/>
      <c r="N57" s="13"/>
      <c r="O57" s="13"/>
      <c r="P57" s="13"/>
      <c r="Q57" s="29">
        <f t="shared" si="2"/>
        <v>65083</v>
      </c>
    </row>
    <row r="58" spans="2:19" ht="18.75" customHeight="1" thickBot="1">
      <c r="B58" s="4" t="s">
        <v>46</v>
      </c>
      <c r="C58" s="5">
        <f t="shared" si="1"/>
        <v>2754727</v>
      </c>
      <c r="E58" s="32">
        <f>SUM(E7:E57)</f>
        <v>723938</v>
      </c>
      <c r="F58" s="32">
        <f>SUM(F7:F57)</f>
        <v>453170</v>
      </c>
      <c r="G58" s="32">
        <f>SUM(G7:G57)</f>
        <v>517440</v>
      </c>
      <c r="H58" s="32">
        <f>SUM(H7:H57)</f>
        <v>544329</v>
      </c>
      <c r="I58" s="32">
        <f>SUM(I7:I57)</f>
        <v>515850</v>
      </c>
      <c r="J58" s="15"/>
      <c r="K58" s="15"/>
      <c r="L58" s="15"/>
      <c r="M58" s="15"/>
      <c r="N58" s="15"/>
      <c r="O58" s="15"/>
      <c r="P58" s="39"/>
      <c r="Q58" s="32">
        <f>SUM(Q7:Q57)</f>
        <v>2754727</v>
      </c>
      <c r="R58">
        <v>66.25</v>
      </c>
      <c r="S58" s="27">
        <f>+Q58*R58</f>
        <v>182500663.75</v>
      </c>
    </row>
    <row r="59" spans="2:19" ht="15.75" thickBot="1">
      <c r="B59" s="7" t="s">
        <v>47</v>
      </c>
      <c r="C59" s="8">
        <f>C58+C5</f>
        <v>3558731</v>
      </c>
      <c r="E59" s="29">
        <f>E6+E58</f>
        <v>847710</v>
      </c>
      <c r="F59" s="29">
        <f>F58+F6</f>
        <v>621790</v>
      </c>
      <c r="G59" s="29">
        <f>G58+G6</f>
        <v>751937</v>
      </c>
      <c r="H59" s="29">
        <f>H58+H6</f>
        <v>688004</v>
      </c>
      <c r="I59" s="29">
        <f>I58+I6</f>
        <v>649290</v>
      </c>
      <c r="J59" s="13"/>
      <c r="K59" s="13"/>
      <c r="L59" s="13"/>
      <c r="M59" s="13"/>
      <c r="N59" s="13"/>
      <c r="O59" s="13"/>
      <c r="P59" s="14"/>
      <c r="Q59" s="29">
        <f>SUM(E59:P59)</f>
        <v>3558731</v>
      </c>
    </row>
    <row r="60" spans="2:19" ht="1.5" customHeight="1">
      <c r="E60" s="16"/>
      <c r="F60" s="16"/>
      <c r="G60" s="16"/>
      <c r="H60" s="16"/>
      <c r="I60" s="16"/>
    </row>
    <row r="61" spans="2:19">
      <c r="D61" t="s">
        <v>59</v>
      </c>
      <c r="E61" s="21">
        <v>67.599999999999994</v>
      </c>
      <c r="F61" s="21">
        <v>71.959999999999994</v>
      </c>
      <c r="G61" s="21">
        <v>56.87</v>
      </c>
      <c r="H61">
        <v>61.9</v>
      </c>
      <c r="I61">
        <v>74.459999999999994</v>
      </c>
      <c r="R61">
        <f>SUM(E61:Q61)</f>
        <v>332.78999999999996</v>
      </c>
    </row>
    <row r="62" spans="2:19">
      <c r="E62" s="22">
        <f>E61*E59</f>
        <v>57305195.999999993</v>
      </c>
      <c r="F62" s="22">
        <f>F61*F59</f>
        <v>44744008.399999999</v>
      </c>
      <c r="G62" s="22">
        <f t="shared" ref="G62:I62" si="3">G61*G59</f>
        <v>42762657.189999998</v>
      </c>
      <c r="H62" s="22">
        <f t="shared" si="3"/>
        <v>42587447.600000001</v>
      </c>
      <c r="I62" s="22">
        <f t="shared" si="3"/>
        <v>48346133.399999999</v>
      </c>
      <c r="J62" s="10"/>
      <c r="K62" s="10"/>
      <c r="L62" s="10"/>
      <c r="M62" s="10"/>
      <c r="N62" s="10"/>
      <c r="O62" s="10"/>
      <c r="P62" s="10"/>
      <c r="Q62" s="37">
        <f>SUM(E62:P62)</f>
        <v>235745442.58999997</v>
      </c>
      <c r="R62">
        <v>5</v>
      </c>
      <c r="S62" s="23">
        <f>+S58+S6</f>
        <v>182500663.75</v>
      </c>
    </row>
    <row r="63" spans="2:19">
      <c r="R63">
        <f>+R61/5</f>
        <v>66.557999999999993</v>
      </c>
    </row>
    <row r="64" spans="2:19">
      <c r="G64" s="19"/>
      <c r="H64" s="20"/>
    </row>
    <row r="65" spans="3:19">
      <c r="G65" s="19"/>
      <c r="H65" s="20"/>
      <c r="Q65">
        <f>+Q62/Q59</f>
        <v>66.244243408675729</v>
      </c>
    </row>
    <row r="66" spans="3:19">
      <c r="E66" s="16">
        <f>+E6</f>
        <v>123772</v>
      </c>
      <c r="F66" s="16">
        <f>+F6</f>
        <v>168620</v>
      </c>
      <c r="G66" s="166">
        <f>+G6</f>
        <v>234497</v>
      </c>
      <c r="H66" s="167">
        <f>+H6</f>
        <v>143675</v>
      </c>
      <c r="I66" s="16">
        <f>+I6</f>
        <v>133440</v>
      </c>
      <c r="S66" s="23"/>
    </row>
    <row r="67" spans="3:19">
      <c r="C67">
        <v>16105484</v>
      </c>
      <c r="G67" s="19"/>
      <c r="H67" s="20"/>
    </row>
    <row r="68" spans="3:19">
      <c r="C68" s="40">
        <f>+C67-C59</f>
        <v>12546753</v>
      </c>
      <c r="F68" s="38">
        <f>+E66+F66+G66+H66+I66</f>
        <v>804004</v>
      </c>
    </row>
    <row r="69" spans="3:19">
      <c r="E69" s="40">
        <f>+C59+C68</f>
        <v>16105484</v>
      </c>
      <c r="F69" s="27">
        <f>+F68*66558</f>
        <v>53512898232</v>
      </c>
    </row>
    <row r="70" spans="3:19">
      <c r="E70" s="23"/>
      <c r="I70">
        <f>SUM(I68:I69)</f>
        <v>0</v>
      </c>
    </row>
    <row r="71" spans="3:19">
      <c r="C71" s="40">
        <f>+C5</f>
        <v>804004</v>
      </c>
    </row>
    <row r="72" spans="3:19">
      <c r="C72" t="e">
        <f>+'COCIDA 2021'!C4:C5</f>
        <v>#VALUE!</v>
      </c>
    </row>
  </sheetData>
  <mergeCells count="2">
    <mergeCell ref="B3:C3"/>
    <mergeCell ref="B4:C4"/>
  </mergeCells>
  <pageMargins left="0.11811023622047245" right="0.11811023622047245" top="0.11811023622047245" bottom="0.11811023622047245" header="0.11811023622047245" footer="0.11811023622047245"/>
  <pageSetup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opLeftCell="B34" zoomScale="98" zoomScaleNormal="98" workbookViewId="0">
      <selection activeCell="B41" sqref="B41"/>
    </sheetView>
  </sheetViews>
  <sheetFormatPr baseColWidth="10" defaultRowHeight="15"/>
  <cols>
    <col min="1" max="1" width="4.85546875" customWidth="1"/>
    <col min="2" max="2" width="34.42578125" customWidth="1"/>
    <col min="3" max="3" width="18.7109375" customWidth="1"/>
    <col min="4" max="4" width="6.5703125" style="46" customWidth="1"/>
    <col min="5" max="5" width="18.28515625" customWidth="1"/>
    <col min="6" max="6" width="17.85546875" customWidth="1"/>
    <col min="7" max="7" width="20.5703125" customWidth="1"/>
    <col min="8" max="8" width="15.85546875" customWidth="1"/>
    <col min="9" max="9" width="18.5703125" customWidth="1"/>
    <col min="10" max="10" width="17.7109375" customWidth="1"/>
    <col min="11" max="11" width="19.7109375" customWidth="1"/>
    <col min="12" max="13" width="18.140625" customWidth="1"/>
    <col min="14" max="14" width="29.7109375" customWidth="1"/>
    <col min="15" max="15" width="15.85546875" customWidth="1"/>
    <col min="16" max="16" width="20.140625" customWidth="1"/>
    <col min="17" max="17" width="21.140625" customWidth="1"/>
    <col min="18" max="18" width="5.42578125" customWidth="1"/>
    <col min="19" max="19" width="16.42578125" hidden="1" customWidth="1"/>
    <col min="20" max="20" width="7.5703125" customWidth="1"/>
    <col min="21" max="21" width="7.85546875" customWidth="1"/>
    <col min="22" max="22" width="14.140625" bestFit="1" customWidth="1"/>
    <col min="26" max="26" width="19.28515625" customWidth="1"/>
  </cols>
  <sheetData>
    <row r="1" spans="1:25">
      <c r="B1" s="49"/>
      <c r="C1" s="49"/>
    </row>
    <row r="2" spans="1:25" ht="54" customHeight="1">
      <c r="B2" s="415" t="s">
        <v>76</v>
      </c>
      <c r="C2" s="416"/>
      <c r="D2" s="50"/>
      <c r="E2" s="51" t="s">
        <v>77</v>
      </c>
      <c r="F2" s="51" t="s">
        <v>78</v>
      </c>
      <c r="G2" s="51" t="s">
        <v>50</v>
      </c>
      <c r="H2" s="51" t="s">
        <v>51</v>
      </c>
      <c r="I2" s="51" t="s">
        <v>52</v>
      </c>
      <c r="J2" s="51" t="s">
        <v>53</v>
      </c>
      <c r="K2" s="51" t="s">
        <v>54</v>
      </c>
      <c r="L2" s="51" t="s">
        <v>55</v>
      </c>
      <c r="M2" s="51" t="s">
        <v>56</v>
      </c>
      <c r="N2" s="51" t="s">
        <v>57</v>
      </c>
      <c r="O2" s="51" t="s">
        <v>66</v>
      </c>
      <c r="P2" s="51" t="s">
        <v>67</v>
      </c>
      <c r="Q2" s="51" t="s">
        <v>79</v>
      </c>
      <c r="R2" s="68"/>
      <c r="S2" s="68"/>
    </row>
    <row r="3" spans="1:25">
      <c r="A3" s="52"/>
      <c r="B3" s="417" t="s">
        <v>80</v>
      </c>
      <c r="C3" s="417"/>
      <c r="D3" s="50"/>
      <c r="E3" s="26">
        <v>162983</v>
      </c>
      <c r="F3" s="26">
        <v>146682</v>
      </c>
      <c r="G3" s="26">
        <v>184004</v>
      </c>
      <c r="H3" s="26">
        <v>221332</v>
      </c>
      <c r="I3" s="26">
        <f>36826+157132</f>
        <v>193958</v>
      </c>
      <c r="J3" s="26">
        <f>41439+62982</f>
        <v>104421</v>
      </c>
      <c r="K3" s="26">
        <f>33323+102161</f>
        <v>135484</v>
      </c>
      <c r="L3" s="26">
        <f>34215+138974</f>
        <v>173189</v>
      </c>
      <c r="M3" s="26">
        <f>38027+123183</f>
        <v>161210</v>
      </c>
      <c r="N3" s="26">
        <f>46603+115705</f>
        <v>162308</v>
      </c>
      <c r="O3" s="26">
        <f>47088+139133</f>
        <v>186221</v>
      </c>
      <c r="P3" s="53">
        <v>204843</v>
      </c>
      <c r="Q3" s="26">
        <f>SUM(E3:P3)</f>
        <v>2036635</v>
      </c>
      <c r="R3" s="53"/>
      <c r="S3" s="53"/>
      <c r="T3" s="25"/>
    </row>
    <row r="4" spans="1:25">
      <c r="A4" s="52"/>
      <c r="B4" s="55"/>
      <c r="C4" s="418">
        <f>+Q3</f>
        <v>2036635</v>
      </c>
      <c r="D4" s="5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53"/>
      <c r="S4" s="53"/>
      <c r="T4" s="28"/>
    </row>
    <row r="5" spans="1:25">
      <c r="B5" s="57" t="s">
        <v>81</v>
      </c>
      <c r="C5" s="419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53"/>
      <c r="S5" s="53"/>
      <c r="T5" s="28"/>
    </row>
    <row r="6" spans="1:25">
      <c r="A6" s="52"/>
      <c r="B6" s="58"/>
      <c r="C6" s="420">
        <f>+Q6</f>
        <v>2036635</v>
      </c>
      <c r="D6" s="50"/>
      <c r="E6" s="59">
        <f>SUM(E3:E5)</f>
        <v>162983</v>
      </c>
      <c r="F6" s="59">
        <f>SUM(F3:F5)</f>
        <v>146682</v>
      </c>
      <c r="G6" s="59">
        <f>SUM(G3:G5)</f>
        <v>184004</v>
      </c>
      <c r="H6" s="59">
        <f>SUM(H3:H5)</f>
        <v>221332</v>
      </c>
      <c r="I6" s="59">
        <f t="shared" ref="I6:N6" si="0">SUM(I3:I5)</f>
        <v>193958</v>
      </c>
      <c r="J6" s="59">
        <f t="shared" si="0"/>
        <v>104421</v>
      </c>
      <c r="K6" s="59">
        <f t="shared" si="0"/>
        <v>135484</v>
      </c>
      <c r="L6" s="59">
        <f t="shared" si="0"/>
        <v>173189</v>
      </c>
      <c r="M6" s="59">
        <f t="shared" si="0"/>
        <v>161210</v>
      </c>
      <c r="N6" s="59">
        <f t="shared" si="0"/>
        <v>162308</v>
      </c>
      <c r="O6" s="59">
        <f>+O3</f>
        <v>186221</v>
      </c>
      <c r="P6" s="59">
        <f>+P3</f>
        <v>204843</v>
      </c>
      <c r="Q6" s="60">
        <f>SUM(E6:P6)</f>
        <v>2036635</v>
      </c>
      <c r="T6" s="25"/>
    </row>
    <row r="7" spans="1:25">
      <c r="B7" s="61" t="s">
        <v>82</v>
      </c>
      <c r="C7" s="421"/>
      <c r="D7" s="50"/>
      <c r="E7" s="26"/>
      <c r="F7" s="26"/>
      <c r="G7" s="26"/>
      <c r="H7" s="26"/>
      <c r="I7" s="26"/>
      <c r="J7" s="26"/>
      <c r="K7" s="26"/>
      <c r="L7" s="26"/>
      <c r="M7" s="26"/>
      <c r="N7" s="62"/>
      <c r="O7" s="62"/>
      <c r="P7" s="62"/>
      <c r="Q7" s="26"/>
      <c r="R7" s="53"/>
      <c r="S7" s="53"/>
      <c r="U7" s="25"/>
    </row>
    <row r="8" spans="1:25">
      <c r="B8" s="422"/>
      <c r="C8" s="423"/>
      <c r="D8" s="5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53"/>
      <c r="S8" s="53"/>
      <c r="T8" s="25"/>
    </row>
    <row r="9" spans="1:25" ht="12.75" customHeight="1">
      <c r="A9" s="42"/>
      <c r="B9" s="63" t="s">
        <v>83</v>
      </c>
      <c r="C9" s="64">
        <f>+Q9</f>
        <v>2173145</v>
      </c>
      <c r="E9" s="26">
        <v>390173</v>
      </c>
      <c r="F9" s="65">
        <v>417272</v>
      </c>
      <c r="G9" s="26">
        <v>441337</v>
      </c>
      <c r="H9" s="26">
        <v>98480</v>
      </c>
      <c r="I9" s="26">
        <v>103187</v>
      </c>
      <c r="J9" s="26">
        <v>111687</v>
      </c>
      <c r="K9" s="26">
        <v>110540</v>
      </c>
      <c r="L9" s="26">
        <v>84086</v>
      </c>
      <c r="M9" s="66">
        <v>82239</v>
      </c>
      <c r="N9" s="26">
        <v>115404</v>
      </c>
      <c r="O9" s="66">
        <v>106040</v>
      </c>
      <c r="P9" s="67">
        <f>+S9</f>
        <v>112700</v>
      </c>
      <c r="Q9" s="26">
        <f>+E9+F9+G9+H9+I9+J9+K9+L9+M9+N9+O9+P9</f>
        <v>2173145</v>
      </c>
      <c r="R9" s="53"/>
      <c r="S9" s="67">
        <f>222700-110000</f>
        <v>112700</v>
      </c>
      <c r="T9" s="257"/>
      <c r="V9" s="28"/>
      <c r="X9" s="25"/>
      <c r="Y9" s="25"/>
    </row>
    <row r="10" spans="1:25" ht="18.75" customHeight="1">
      <c r="B10" s="69" t="s">
        <v>84</v>
      </c>
      <c r="C10" s="64">
        <f t="shared" ref="C10:C54" si="1">+Q10</f>
        <v>345960</v>
      </c>
      <c r="E10" s="26">
        <v>2443</v>
      </c>
      <c r="F10" s="65">
        <v>20760</v>
      </c>
      <c r="G10" s="26">
        <v>31281</v>
      </c>
      <c r="H10" s="26">
        <v>36627</v>
      </c>
      <c r="I10" s="26">
        <v>38840</v>
      </c>
      <c r="J10" s="26">
        <v>46803</v>
      </c>
      <c r="K10" s="26">
        <v>35246</v>
      </c>
      <c r="L10" s="26">
        <v>30070</v>
      </c>
      <c r="M10" s="66">
        <v>27961</v>
      </c>
      <c r="N10" s="66">
        <v>26896</v>
      </c>
      <c r="O10" s="66">
        <v>22923</v>
      </c>
      <c r="P10" s="67">
        <f t="shared" ref="P10:P54" si="2">+S10</f>
        <v>26110</v>
      </c>
      <c r="Q10" s="26">
        <f t="shared" ref="Q10:Q54" si="3">+E10+F10+G10+H10+I10+J10+K10+L10+M10+N10+O10+P10</f>
        <v>345960</v>
      </c>
      <c r="R10" s="53"/>
      <c r="S10" s="67">
        <f>156427-130317</f>
        <v>26110</v>
      </c>
      <c r="T10" s="257"/>
      <c r="V10" s="28"/>
    </row>
    <row r="11" spans="1:25">
      <c r="B11" s="70" t="s">
        <v>85</v>
      </c>
      <c r="C11" s="64">
        <f t="shared" si="1"/>
        <v>558993</v>
      </c>
      <c r="E11" s="26">
        <v>29202</v>
      </c>
      <c r="F11" s="65">
        <v>36283</v>
      </c>
      <c r="G11" s="26">
        <v>46843</v>
      </c>
      <c r="H11" s="26">
        <v>44778</v>
      </c>
      <c r="I11" s="26">
        <v>43205</v>
      </c>
      <c r="J11" s="26">
        <v>46769</v>
      </c>
      <c r="K11" s="26">
        <v>41302</v>
      </c>
      <c r="L11" s="26">
        <v>36707</v>
      </c>
      <c r="M11" s="66">
        <v>38341</v>
      </c>
      <c r="N11" s="26">
        <v>52180</v>
      </c>
      <c r="O11" s="66">
        <v>55787</v>
      </c>
      <c r="P11" s="67">
        <f t="shared" si="2"/>
        <v>87596</v>
      </c>
      <c r="Q11" s="26">
        <f t="shared" si="3"/>
        <v>558993</v>
      </c>
      <c r="R11" s="53"/>
      <c r="S11" s="67">
        <f>187913-100317</f>
        <v>87596</v>
      </c>
      <c r="T11" s="257"/>
      <c r="V11" s="28"/>
    </row>
    <row r="12" spans="1:25">
      <c r="A12" s="42"/>
      <c r="B12" s="70" t="s">
        <v>86</v>
      </c>
      <c r="C12" s="64">
        <f t="shared" si="1"/>
        <v>1463413</v>
      </c>
      <c r="E12" s="26">
        <v>353720</v>
      </c>
      <c r="F12" s="65">
        <v>362846</v>
      </c>
      <c r="G12" s="26">
        <v>375639</v>
      </c>
      <c r="H12" s="26">
        <v>41626</v>
      </c>
      <c r="I12" s="26">
        <v>45627</v>
      </c>
      <c r="J12" s="26">
        <v>49053</v>
      </c>
      <c r="K12" s="26">
        <v>49365</v>
      </c>
      <c r="L12" s="26">
        <v>34122</v>
      </c>
      <c r="M12" s="66">
        <v>37046</v>
      </c>
      <c r="N12" s="26">
        <v>36025</v>
      </c>
      <c r="O12" s="66">
        <v>38884</v>
      </c>
      <c r="P12" s="67">
        <f t="shared" si="2"/>
        <v>39460</v>
      </c>
      <c r="Q12" s="26">
        <f t="shared" si="3"/>
        <v>1463413</v>
      </c>
      <c r="R12" s="53"/>
      <c r="S12" s="67">
        <f>52323-12863</f>
        <v>39460</v>
      </c>
      <c r="T12" s="257"/>
      <c r="V12" s="28"/>
      <c r="W12" s="25"/>
    </row>
    <row r="13" spans="1:25">
      <c r="A13" s="42"/>
      <c r="B13" s="70" t="s">
        <v>87</v>
      </c>
      <c r="C13" s="64">
        <f t="shared" si="1"/>
        <v>77269</v>
      </c>
      <c r="E13" s="26"/>
      <c r="F13" s="65"/>
      <c r="G13" s="26"/>
      <c r="H13" s="26"/>
      <c r="I13" s="26"/>
      <c r="J13" s="26"/>
      <c r="K13" s="26"/>
      <c r="L13" s="26"/>
      <c r="M13" s="26">
        <v>10393</v>
      </c>
      <c r="N13" s="71">
        <v>13524</v>
      </c>
      <c r="O13" s="66">
        <v>28268</v>
      </c>
      <c r="P13" s="67">
        <f t="shared" si="2"/>
        <v>25084</v>
      </c>
      <c r="Q13" s="26">
        <f t="shared" si="3"/>
        <v>77269</v>
      </c>
      <c r="R13" s="53"/>
      <c r="S13" s="67">
        <f>37947-12863</f>
        <v>25084</v>
      </c>
      <c r="T13" s="257"/>
      <c r="V13" s="28"/>
    </row>
    <row r="14" spans="1:25">
      <c r="B14" s="69" t="s">
        <v>88</v>
      </c>
      <c r="C14" s="64">
        <f t="shared" si="1"/>
        <v>596161</v>
      </c>
      <c r="E14" s="26">
        <v>42839</v>
      </c>
      <c r="F14" s="65">
        <v>41864</v>
      </c>
      <c r="G14" s="26">
        <v>50984</v>
      </c>
      <c r="H14" s="26">
        <v>35518</v>
      </c>
      <c r="I14" s="26">
        <v>40114</v>
      </c>
      <c r="J14" s="26">
        <v>51987</v>
      </c>
      <c r="K14" s="26">
        <v>59795</v>
      </c>
      <c r="L14" s="26">
        <v>53917</v>
      </c>
      <c r="M14" s="66">
        <v>53156</v>
      </c>
      <c r="N14" s="26">
        <v>50796</v>
      </c>
      <c r="O14" s="66">
        <v>57317</v>
      </c>
      <c r="P14" s="67">
        <f t="shared" si="2"/>
        <v>57874</v>
      </c>
      <c r="Q14" s="26">
        <f>+E14+F14+G14+H14+I14+J14+K14+L14+M14+N14+O14+P14</f>
        <v>596161</v>
      </c>
      <c r="R14" s="53"/>
      <c r="S14" s="67">
        <f>70532-12658</f>
        <v>57874</v>
      </c>
      <c r="T14" s="257"/>
      <c r="V14" s="28"/>
    </row>
    <row r="15" spans="1:25">
      <c r="A15" s="42"/>
      <c r="B15" s="70" t="s">
        <v>89</v>
      </c>
      <c r="C15" s="64">
        <f t="shared" si="1"/>
        <v>468841</v>
      </c>
      <c r="E15" s="26">
        <v>42478</v>
      </c>
      <c r="F15" s="65">
        <v>48842</v>
      </c>
      <c r="G15" s="26">
        <v>57070</v>
      </c>
      <c r="H15" s="26">
        <v>29395</v>
      </c>
      <c r="I15" s="26">
        <v>35188</v>
      </c>
      <c r="J15" s="26">
        <v>42743</v>
      </c>
      <c r="K15" s="26">
        <v>44045</v>
      </c>
      <c r="L15" s="26">
        <v>34920</v>
      </c>
      <c r="M15" s="66">
        <v>29087</v>
      </c>
      <c r="N15" s="26">
        <v>33190</v>
      </c>
      <c r="O15" s="66">
        <v>36349</v>
      </c>
      <c r="P15" s="67">
        <f t="shared" si="2"/>
        <v>35534</v>
      </c>
      <c r="Q15" s="26">
        <f t="shared" si="3"/>
        <v>468841</v>
      </c>
      <c r="R15" s="53"/>
      <c r="S15" s="67">
        <f>48397-12863</f>
        <v>35534</v>
      </c>
      <c r="T15" s="257"/>
      <c r="V15" s="28"/>
    </row>
    <row r="16" spans="1:25">
      <c r="A16" s="42"/>
      <c r="B16" s="69" t="s">
        <v>90</v>
      </c>
      <c r="C16" s="64">
        <f t="shared" si="1"/>
        <v>429059</v>
      </c>
      <c r="E16" s="26">
        <v>33720</v>
      </c>
      <c r="F16" s="72">
        <v>40219</v>
      </c>
      <c r="G16" s="26">
        <v>52207</v>
      </c>
      <c r="H16" s="26">
        <v>30353</v>
      </c>
      <c r="I16" s="26">
        <v>31375</v>
      </c>
      <c r="J16" s="26">
        <v>34649</v>
      </c>
      <c r="K16" s="26">
        <v>34126</v>
      </c>
      <c r="L16" s="26">
        <v>28966</v>
      </c>
      <c r="M16" s="66">
        <v>26257</v>
      </c>
      <c r="N16" s="26">
        <v>32333</v>
      </c>
      <c r="O16" s="66">
        <v>42041</v>
      </c>
      <c r="P16" s="67">
        <f t="shared" si="2"/>
        <v>42813</v>
      </c>
      <c r="Q16" s="26">
        <f>+E16+F16+G16+H16+I16+J16+K16+L16+M16+N16+O16+P16</f>
        <v>429059</v>
      </c>
      <c r="R16" s="53"/>
      <c r="S16" s="67">
        <v>42813</v>
      </c>
      <c r="T16" s="257"/>
      <c r="U16" s="27"/>
      <c r="V16" s="28"/>
    </row>
    <row r="17" spans="1:26">
      <c r="B17" s="70" t="s">
        <v>91</v>
      </c>
      <c r="C17" s="64">
        <f t="shared" si="1"/>
        <v>214308</v>
      </c>
      <c r="E17" s="26">
        <v>14292</v>
      </c>
      <c r="F17" s="26">
        <v>19079</v>
      </c>
      <c r="G17" s="72">
        <v>21738</v>
      </c>
      <c r="H17" s="26">
        <v>19596</v>
      </c>
      <c r="I17" s="26">
        <v>21365</v>
      </c>
      <c r="J17" s="26">
        <v>20739</v>
      </c>
      <c r="K17" s="26">
        <v>18515</v>
      </c>
      <c r="L17" s="26">
        <v>11988</v>
      </c>
      <c r="M17" s="66">
        <v>15281</v>
      </c>
      <c r="N17" s="26">
        <v>17621</v>
      </c>
      <c r="O17" s="66">
        <v>19708</v>
      </c>
      <c r="P17" s="67">
        <f t="shared" si="2"/>
        <v>14386</v>
      </c>
      <c r="Q17" s="26">
        <f t="shared" si="3"/>
        <v>214308</v>
      </c>
      <c r="R17" s="53"/>
      <c r="S17" s="67">
        <f>16386-2000</f>
        <v>14386</v>
      </c>
      <c r="T17" s="257"/>
      <c r="V17" s="28"/>
    </row>
    <row r="18" spans="1:26">
      <c r="A18" s="42"/>
      <c r="B18" s="73" t="s">
        <v>92</v>
      </c>
      <c r="C18" s="64">
        <f t="shared" si="1"/>
        <v>226823</v>
      </c>
      <c r="E18" s="26">
        <v>17834</v>
      </c>
      <c r="F18" s="26">
        <v>21227</v>
      </c>
      <c r="G18" s="26">
        <v>21061</v>
      </c>
      <c r="H18" s="26">
        <v>20032</v>
      </c>
      <c r="I18" s="26">
        <v>21144</v>
      </c>
      <c r="J18" s="26">
        <v>21805</v>
      </c>
      <c r="K18" s="26">
        <v>20957</v>
      </c>
      <c r="L18" s="26">
        <v>16923</v>
      </c>
      <c r="M18" s="66">
        <v>15735</v>
      </c>
      <c r="N18" s="26">
        <v>15154</v>
      </c>
      <c r="O18" s="66">
        <v>16698</v>
      </c>
      <c r="P18" s="67">
        <f t="shared" si="2"/>
        <v>18253</v>
      </c>
      <c r="Q18" s="26">
        <f t="shared" si="3"/>
        <v>226823</v>
      </c>
      <c r="R18" s="53"/>
      <c r="S18" s="67">
        <v>18253</v>
      </c>
      <c r="T18" s="257"/>
      <c r="V18" s="28"/>
    </row>
    <row r="19" spans="1:26">
      <c r="A19" s="42"/>
      <c r="B19" s="74" t="s">
        <v>93</v>
      </c>
      <c r="C19" s="64">
        <f t="shared" si="1"/>
        <v>170483</v>
      </c>
      <c r="E19" s="26">
        <v>5936</v>
      </c>
      <c r="F19" s="26">
        <v>8540</v>
      </c>
      <c r="G19" s="26">
        <v>16426</v>
      </c>
      <c r="H19" s="26">
        <v>14574</v>
      </c>
      <c r="I19" s="26">
        <v>15012</v>
      </c>
      <c r="J19" s="26">
        <v>19409</v>
      </c>
      <c r="K19" s="26">
        <v>19353</v>
      </c>
      <c r="L19" s="26">
        <v>17709</v>
      </c>
      <c r="M19" s="66">
        <v>15693</v>
      </c>
      <c r="N19" s="26">
        <v>13212</v>
      </c>
      <c r="O19" s="66">
        <v>14254</v>
      </c>
      <c r="P19" s="67">
        <f t="shared" si="2"/>
        <v>10365</v>
      </c>
      <c r="Q19" s="26">
        <f t="shared" si="3"/>
        <v>170483</v>
      </c>
      <c r="R19" s="53"/>
      <c r="S19" s="67">
        <f>20365-10000</f>
        <v>10365</v>
      </c>
      <c r="T19" s="257"/>
    </row>
    <row r="20" spans="1:26">
      <c r="A20" s="42"/>
      <c r="B20" s="69" t="s">
        <v>94</v>
      </c>
      <c r="C20" s="64">
        <f t="shared" si="1"/>
        <v>204851</v>
      </c>
      <c r="E20" s="26">
        <v>11849</v>
      </c>
      <c r="F20" s="26">
        <v>16003</v>
      </c>
      <c r="G20" s="26">
        <v>17918</v>
      </c>
      <c r="H20" s="26">
        <v>16706</v>
      </c>
      <c r="I20" s="26">
        <v>21044</v>
      </c>
      <c r="J20" s="26">
        <v>21232</v>
      </c>
      <c r="K20" s="26">
        <v>22340</v>
      </c>
      <c r="L20" s="26">
        <v>17715</v>
      </c>
      <c r="M20" s="66">
        <v>16009</v>
      </c>
      <c r="N20" s="26">
        <v>14870</v>
      </c>
      <c r="O20" s="66">
        <v>16612</v>
      </c>
      <c r="P20" s="67">
        <f t="shared" si="2"/>
        <v>12553</v>
      </c>
      <c r="Q20" s="26">
        <f t="shared" si="3"/>
        <v>204851</v>
      </c>
      <c r="R20" s="53"/>
      <c r="S20" s="67">
        <f>14553-2000</f>
        <v>12553</v>
      </c>
      <c r="T20" s="257"/>
      <c r="Y20" s="27"/>
      <c r="Z20" s="27"/>
    </row>
    <row r="21" spans="1:26">
      <c r="A21" s="42"/>
      <c r="B21" s="75" t="s">
        <v>95</v>
      </c>
      <c r="C21" s="64">
        <f t="shared" si="1"/>
        <v>157404</v>
      </c>
      <c r="E21" s="26">
        <v>8062</v>
      </c>
      <c r="F21" s="26">
        <v>11622</v>
      </c>
      <c r="G21" s="26">
        <v>13258</v>
      </c>
      <c r="H21" s="26">
        <v>11354</v>
      </c>
      <c r="I21" s="26">
        <v>12036</v>
      </c>
      <c r="J21" s="26">
        <v>14116</v>
      </c>
      <c r="K21" s="26">
        <v>14783</v>
      </c>
      <c r="L21" s="26">
        <v>11709</v>
      </c>
      <c r="M21" s="66">
        <v>11742</v>
      </c>
      <c r="N21" s="26">
        <v>12142</v>
      </c>
      <c r="O21" s="66">
        <v>13707</v>
      </c>
      <c r="P21" s="67">
        <f t="shared" si="2"/>
        <v>22873</v>
      </c>
      <c r="Q21" s="26">
        <f t="shared" si="3"/>
        <v>157404</v>
      </c>
      <c r="R21" s="53"/>
      <c r="S21" s="67">
        <v>22873</v>
      </c>
      <c r="T21" s="257"/>
    </row>
    <row r="22" spans="1:26">
      <c r="A22" s="42"/>
      <c r="B22" s="69" t="s">
        <v>96</v>
      </c>
      <c r="C22" s="64">
        <f t="shared" si="1"/>
        <v>165525</v>
      </c>
      <c r="E22" s="26">
        <v>8215</v>
      </c>
      <c r="F22" s="26">
        <v>10343</v>
      </c>
      <c r="G22" s="26">
        <v>13648</v>
      </c>
      <c r="H22" s="26">
        <v>12365</v>
      </c>
      <c r="I22" s="26">
        <v>12870</v>
      </c>
      <c r="J22" s="26">
        <v>16097</v>
      </c>
      <c r="K22" s="26">
        <v>16253</v>
      </c>
      <c r="L22" s="26">
        <v>12025</v>
      </c>
      <c r="M22" s="66">
        <v>12153</v>
      </c>
      <c r="N22" s="26">
        <v>13073</v>
      </c>
      <c r="O22" s="66">
        <v>14002</v>
      </c>
      <c r="P22" s="67">
        <f t="shared" si="2"/>
        <v>24481</v>
      </c>
      <c r="Q22" s="26">
        <f t="shared" si="3"/>
        <v>165525</v>
      </c>
      <c r="R22" s="53"/>
      <c r="S22" s="67">
        <v>24481</v>
      </c>
      <c r="T22" s="257"/>
    </row>
    <row r="23" spans="1:26">
      <c r="A23" s="42"/>
      <c r="B23" s="76" t="s">
        <v>97</v>
      </c>
      <c r="C23" s="64">
        <f t="shared" si="1"/>
        <v>107081</v>
      </c>
      <c r="E23" s="26">
        <v>5222</v>
      </c>
      <c r="F23" s="26">
        <v>6520</v>
      </c>
      <c r="G23" s="26">
        <v>8054</v>
      </c>
      <c r="H23" s="26">
        <v>6715</v>
      </c>
      <c r="I23" s="26">
        <v>8042</v>
      </c>
      <c r="J23" s="26">
        <v>9784</v>
      </c>
      <c r="K23" s="26">
        <v>8147</v>
      </c>
      <c r="L23" s="26">
        <v>7412</v>
      </c>
      <c r="M23" s="66">
        <v>9181</v>
      </c>
      <c r="N23" s="26">
        <v>10076</v>
      </c>
      <c r="O23" s="66">
        <v>9842</v>
      </c>
      <c r="P23" s="67">
        <f t="shared" si="2"/>
        <v>18086</v>
      </c>
      <c r="Q23" s="26">
        <f t="shared" si="3"/>
        <v>107081</v>
      </c>
      <c r="R23" s="53"/>
      <c r="S23" s="67">
        <v>18086</v>
      </c>
      <c r="T23" s="257"/>
    </row>
    <row r="24" spans="1:26">
      <c r="A24" s="42"/>
      <c r="B24" s="69" t="s">
        <v>98</v>
      </c>
      <c r="C24" s="64">
        <f t="shared" si="1"/>
        <v>711412</v>
      </c>
      <c r="E24" s="26">
        <v>153635</v>
      </c>
      <c r="F24" s="26">
        <v>157415</v>
      </c>
      <c r="G24" s="26">
        <v>168730</v>
      </c>
      <c r="H24" s="26">
        <v>20107</v>
      </c>
      <c r="I24" s="26">
        <v>21101</v>
      </c>
      <c r="J24" s="26">
        <v>22705</v>
      </c>
      <c r="K24" s="26">
        <v>24929</v>
      </c>
      <c r="L24" s="26">
        <v>23837</v>
      </c>
      <c r="M24" s="66">
        <v>22593</v>
      </c>
      <c r="N24" s="26">
        <v>23420</v>
      </c>
      <c r="O24" s="66">
        <v>26372</v>
      </c>
      <c r="P24" s="67">
        <f t="shared" si="2"/>
        <v>46568</v>
      </c>
      <c r="Q24" s="26">
        <f t="shared" si="3"/>
        <v>711412</v>
      </c>
      <c r="R24" s="53"/>
      <c r="S24" s="67">
        <f>59431-12863</f>
        <v>46568</v>
      </c>
      <c r="T24" s="257"/>
      <c r="V24" s="40"/>
    </row>
    <row r="25" spans="1:26">
      <c r="B25" s="70" t="s">
        <v>99</v>
      </c>
      <c r="C25" s="64">
        <f t="shared" si="1"/>
        <v>168244</v>
      </c>
      <c r="E25" s="26">
        <v>10097</v>
      </c>
      <c r="F25" s="26">
        <v>11545</v>
      </c>
      <c r="G25" s="77">
        <v>13200</v>
      </c>
      <c r="H25" s="26">
        <v>10654</v>
      </c>
      <c r="I25" s="26">
        <v>11428</v>
      </c>
      <c r="J25" s="26">
        <v>12392</v>
      </c>
      <c r="K25" s="26">
        <v>12366</v>
      </c>
      <c r="L25" s="26">
        <v>12174</v>
      </c>
      <c r="M25" s="66">
        <v>11900</v>
      </c>
      <c r="N25" s="26">
        <v>13248</v>
      </c>
      <c r="O25" s="66">
        <v>16778</v>
      </c>
      <c r="P25" s="67">
        <f t="shared" si="2"/>
        <v>32462</v>
      </c>
      <c r="Q25" s="26">
        <f t="shared" si="3"/>
        <v>168244</v>
      </c>
      <c r="R25" s="53"/>
      <c r="S25" s="67">
        <v>32462</v>
      </c>
      <c r="T25" s="257"/>
    </row>
    <row r="26" spans="1:26">
      <c r="B26" s="69" t="s">
        <v>100</v>
      </c>
      <c r="C26" s="64">
        <f t="shared" si="1"/>
        <v>430312</v>
      </c>
      <c r="E26" s="26">
        <v>82108</v>
      </c>
      <c r="F26" s="65">
        <v>84599</v>
      </c>
      <c r="G26" s="26">
        <v>86583</v>
      </c>
      <c r="H26" s="26">
        <v>10023</v>
      </c>
      <c r="I26" s="26">
        <v>11737</v>
      </c>
      <c r="J26" s="26">
        <v>14309</v>
      </c>
      <c r="K26" s="26">
        <v>22773</v>
      </c>
      <c r="L26" s="26">
        <v>20795</v>
      </c>
      <c r="M26" s="66">
        <v>21650</v>
      </c>
      <c r="N26" s="26">
        <v>25029</v>
      </c>
      <c r="O26" s="66">
        <v>27184</v>
      </c>
      <c r="P26" s="67">
        <f t="shared" si="2"/>
        <v>23522</v>
      </c>
      <c r="Q26" s="26">
        <f t="shared" si="3"/>
        <v>430312</v>
      </c>
      <c r="R26" s="53"/>
      <c r="S26" s="67">
        <f>30522-7000</f>
        <v>23522</v>
      </c>
      <c r="T26" s="257"/>
    </row>
    <row r="27" spans="1:26">
      <c r="A27" s="42"/>
      <c r="B27" s="78" t="s">
        <v>101</v>
      </c>
      <c r="C27" s="64">
        <f t="shared" si="1"/>
        <v>479612</v>
      </c>
      <c r="E27" s="26">
        <v>46576</v>
      </c>
      <c r="F27" s="65">
        <v>60343</v>
      </c>
      <c r="G27" s="26">
        <v>67159</v>
      </c>
      <c r="H27" s="26">
        <v>39412</v>
      </c>
      <c r="I27" s="26">
        <v>39904</v>
      </c>
      <c r="J27" s="26">
        <v>41531</v>
      </c>
      <c r="K27" s="26">
        <v>33982</v>
      </c>
      <c r="L27" s="26">
        <v>27785</v>
      </c>
      <c r="M27" s="66">
        <v>26538</v>
      </c>
      <c r="N27" s="26">
        <v>26584</v>
      </c>
      <c r="O27" s="66">
        <v>32375</v>
      </c>
      <c r="P27" s="67">
        <f t="shared" si="2"/>
        <v>37423</v>
      </c>
      <c r="Q27" s="26">
        <f t="shared" si="3"/>
        <v>479612</v>
      </c>
      <c r="R27" s="53"/>
      <c r="S27" s="67">
        <f>50286-12863</f>
        <v>37423</v>
      </c>
      <c r="T27" s="257"/>
    </row>
    <row r="28" spans="1:26">
      <c r="B28" s="69" t="s">
        <v>102</v>
      </c>
      <c r="C28" s="64">
        <f t="shared" si="1"/>
        <v>190553</v>
      </c>
      <c r="E28" s="26">
        <v>8548</v>
      </c>
      <c r="F28" s="26">
        <v>11155</v>
      </c>
      <c r="G28" s="26">
        <v>15820</v>
      </c>
      <c r="H28" s="26">
        <v>13922</v>
      </c>
      <c r="I28" s="26">
        <v>16741</v>
      </c>
      <c r="J28" s="26">
        <v>21442</v>
      </c>
      <c r="K28" s="26">
        <v>19235</v>
      </c>
      <c r="L28" s="26">
        <v>17665</v>
      </c>
      <c r="M28" s="66">
        <v>16420</v>
      </c>
      <c r="N28" s="26">
        <v>15865</v>
      </c>
      <c r="O28" s="66">
        <v>17962</v>
      </c>
      <c r="P28" s="67">
        <f t="shared" si="2"/>
        <v>15778</v>
      </c>
      <c r="Q28" s="26">
        <f t="shared" si="3"/>
        <v>190553</v>
      </c>
      <c r="R28" s="53"/>
      <c r="S28" s="67">
        <f>33778-18000</f>
        <v>15778</v>
      </c>
      <c r="T28" s="257"/>
      <c r="V28" s="40"/>
      <c r="Y28" s="25"/>
    </row>
    <row r="29" spans="1:26">
      <c r="B29" s="79" t="s">
        <v>103</v>
      </c>
      <c r="C29" s="64">
        <f t="shared" si="1"/>
        <v>122274</v>
      </c>
      <c r="E29" s="26">
        <v>6988</v>
      </c>
      <c r="F29" s="26">
        <v>8226</v>
      </c>
      <c r="G29" s="26">
        <v>10009</v>
      </c>
      <c r="H29" s="26">
        <v>8746</v>
      </c>
      <c r="I29" s="26">
        <v>9506</v>
      </c>
      <c r="J29" s="26">
        <v>9384</v>
      </c>
      <c r="K29" s="26">
        <v>11383</v>
      </c>
      <c r="L29" s="26">
        <v>9969</v>
      </c>
      <c r="M29" s="66">
        <v>11544</v>
      </c>
      <c r="N29" s="26">
        <v>12480</v>
      </c>
      <c r="O29" s="66">
        <v>13954</v>
      </c>
      <c r="P29" s="67">
        <f t="shared" si="2"/>
        <v>10085</v>
      </c>
      <c r="Q29" s="26">
        <f t="shared" si="3"/>
        <v>122274</v>
      </c>
      <c r="R29" s="53"/>
      <c r="S29" s="67">
        <f>20085-10000</f>
        <v>10085</v>
      </c>
      <c r="T29" s="257"/>
    </row>
    <row r="30" spans="1:26">
      <c r="B30" s="79" t="s">
        <v>193</v>
      </c>
      <c r="C30" s="64">
        <f t="shared" si="1"/>
        <v>18366</v>
      </c>
      <c r="E30" s="26"/>
      <c r="F30" s="26"/>
      <c r="G30" s="26"/>
      <c r="H30" s="26"/>
      <c r="I30" s="26"/>
      <c r="J30" s="26"/>
      <c r="K30" s="26"/>
      <c r="L30" s="26"/>
      <c r="M30" s="66"/>
      <c r="N30" s="26"/>
      <c r="O30" s="66"/>
      <c r="P30" s="67">
        <f t="shared" si="2"/>
        <v>18366</v>
      </c>
      <c r="Q30" s="26">
        <f>+P30</f>
        <v>18366</v>
      </c>
      <c r="R30" s="53"/>
      <c r="S30" s="67">
        <f>20366-2000</f>
        <v>18366</v>
      </c>
      <c r="T30" s="257"/>
    </row>
    <row r="31" spans="1:26">
      <c r="B31" s="70" t="s">
        <v>104</v>
      </c>
      <c r="C31" s="64">
        <f t="shared" si="1"/>
        <v>27173</v>
      </c>
      <c r="E31" s="26"/>
      <c r="F31" s="26"/>
      <c r="G31" s="26"/>
      <c r="H31" s="26"/>
      <c r="I31" s="26"/>
      <c r="J31" s="26"/>
      <c r="K31" s="26"/>
      <c r="L31" s="26"/>
      <c r="M31" s="66">
        <v>4221</v>
      </c>
      <c r="N31" s="26">
        <v>7179</v>
      </c>
      <c r="O31" s="66">
        <v>7525</v>
      </c>
      <c r="P31" s="67">
        <f t="shared" si="2"/>
        <v>8248</v>
      </c>
      <c r="Q31" s="26">
        <f t="shared" si="3"/>
        <v>27173</v>
      </c>
      <c r="R31" s="53"/>
      <c r="S31" s="67">
        <v>8248</v>
      </c>
      <c r="T31" s="257"/>
      <c r="V31" s="25"/>
    </row>
    <row r="32" spans="1:26">
      <c r="B32" s="69" t="s">
        <v>105</v>
      </c>
      <c r="C32" s="64">
        <f t="shared" si="1"/>
        <v>161349</v>
      </c>
      <c r="E32" s="26">
        <v>7606</v>
      </c>
      <c r="F32" s="26">
        <v>10115</v>
      </c>
      <c r="G32" s="26">
        <v>13248</v>
      </c>
      <c r="H32" s="26">
        <v>12782</v>
      </c>
      <c r="I32" s="26">
        <v>13518</v>
      </c>
      <c r="J32" s="26">
        <v>13382</v>
      </c>
      <c r="K32" s="26">
        <v>13840</v>
      </c>
      <c r="L32" s="26">
        <v>14646</v>
      </c>
      <c r="M32" s="66">
        <v>13602</v>
      </c>
      <c r="N32" s="26">
        <v>13340</v>
      </c>
      <c r="O32" s="66">
        <v>18572</v>
      </c>
      <c r="P32" s="67">
        <f t="shared" si="2"/>
        <v>16698</v>
      </c>
      <c r="Q32" s="26">
        <f t="shared" si="3"/>
        <v>161349</v>
      </c>
      <c r="R32" s="53"/>
      <c r="S32" s="67">
        <f>28698-12000</f>
        <v>16698</v>
      </c>
      <c r="T32" s="257"/>
    </row>
    <row r="33" spans="1:22">
      <c r="B33" s="70" t="s">
        <v>106</v>
      </c>
      <c r="C33" s="64">
        <f t="shared" si="1"/>
        <v>114709</v>
      </c>
      <c r="E33" s="26">
        <v>5816</v>
      </c>
      <c r="F33" s="26">
        <v>6910</v>
      </c>
      <c r="G33" s="26">
        <v>8117</v>
      </c>
      <c r="H33" s="26">
        <v>7106</v>
      </c>
      <c r="I33" s="26">
        <v>7875</v>
      </c>
      <c r="J33" s="26">
        <v>8692</v>
      </c>
      <c r="K33" s="26">
        <v>12237</v>
      </c>
      <c r="L33" s="26">
        <v>11281</v>
      </c>
      <c r="M33" s="66">
        <v>10485</v>
      </c>
      <c r="N33" s="26">
        <v>10275</v>
      </c>
      <c r="O33" s="66">
        <v>11805</v>
      </c>
      <c r="P33" s="67">
        <f t="shared" si="2"/>
        <v>14110</v>
      </c>
      <c r="Q33" s="26">
        <f t="shared" si="3"/>
        <v>114709</v>
      </c>
      <c r="R33" s="53"/>
      <c r="S33" s="67">
        <v>14110</v>
      </c>
      <c r="T33" s="257"/>
      <c r="V33" s="247"/>
    </row>
    <row r="34" spans="1:22" ht="13.5" customHeight="1">
      <c r="B34" s="69" t="s">
        <v>107</v>
      </c>
      <c r="C34" s="64">
        <f t="shared" si="1"/>
        <v>266051</v>
      </c>
      <c r="E34" s="26">
        <v>13685</v>
      </c>
      <c r="F34" s="26">
        <v>18535</v>
      </c>
      <c r="G34" s="26">
        <v>21347</v>
      </c>
      <c r="H34" s="26">
        <v>19858</v>
      </c>
      <c r="I34" s="26">
        <v>23559</v>
      </c>
      <c r="J34" s="26">
        <v>24200</v>
      </c>
      <c r="K34" s="26">
        <v>34461</v>
      </c>
      <c r="L34" s="26">
        <v>28214</v>
      </c>
      <c r="M34" s="66">
        <v>19731</v>
      </c>
      <c r="N34" s="26">
        <v>19765</v>
      </c>
      <c r="O34" s="66">
        <v>21209</v>
      </c>
      <c r="P34" s="67">
        <f t="shared" si="2"/>
        <v>21487</v>
      </c>
      <c r="Q34" s="26">
        <f t="shared" si="3"/>
        <v>266051</v>
      </c>
      <c r="R34" s="53"/>
      <c r="S34" s="67">
        <f>41487-20000</f>
        <v>21487</v>
      </c>
      <c r="T34" s="257"/>
      <c r="V34" s="25"/>
    </row>
    <row r="35" spans="1:22" ht="15" customHeight="1">
      <c r="B35" s="80" t="s">
        <v>108</v>
      </c>
      <c r="C35" s="64">
        <f t="shared" si="1"/>
        <v>43228</v>
      </c>
      <c r="E35" s="26"/>
      <c r="F35" s="26"/>
      <c r="G35" s="26"/>
      <c r="H35" s="26"/>
      <c r="I35" s="26"/>
      <c r="J35" s="26"/>
      <c r="K35" s="26"/>
      <c r="L35" s="26"/>
      <c r="M35" s="66">
        <v>6582</v>
      </c>
      <c r="N35" s="26">
        <v>7121</v>
      </c>
      <c r="O35" s="66">
        <v>8579</v>
      </c>
      <c r="P35" s="67">
        <f t="shared" si="2"/>
        <v>20946</v>
      </c>
      <c r="Q35" s="26">
        <f t="shared" si="3"/>
        <v>43228</v>
      </c>
      <c r="R35" s="53"/>
      <c r="S35" s="67">
        <v>20946</v>
      </c>
      <c r="T35" s="257"/>
    </row>
    <row r="36" spans="1:22" ht="15" customHeight="1">
      <c r="B36" s="80" t="s">
        <v>109</v>
      </c>
      <c r="C36" s="64">
        <f t="shared" si="1"/>
        <v>48753</v>
      </c>
      <c r="E36" s="26"/>
      <c r="F36" s="26"/>
      <c r="G36" s="26"/>
      <c r="H36" s="26"/>
      <c r="I36" s="26"/>
      <c r="J36" s="26"/>
      <c r="K36" s="26"/>
      <c r="L36" s="26"/>
      <c r="M36" s="66">
        <v>2222</v>
      </c>
      <c r="N36" s="26">
        <v>9492</v>
      </c>
      <c r="O36" s="66">
        <v>11409</v>
      </c>
      <c r="P36" s="67">
        <f t="shared" si="2"/>
        <v>25630</v>
      </c>
      <c r="Q36" s="26">
        <f t="shared" si="3"/>
        <v>48753</v>
      </c>
      <c r="R36" s="53"/>
      <c r="S36" s="67">
        <f>23045+2585</f>
        <v>25630</v>
      </c>
      <c r="T36" s="257"/>
    </row>
    <row r="37" spans="1:22">
      <c r="A37" s="42"/>
      <c r="B37" s="78" t="s">
        <v>110</v>
      </c>
      <c r="C37" s="64">
        <f t="shared" si="1"/>
        <v>465330</v>
      </c>
      <c r="E37" s="26">
        <v>94541</v>
      </c>
      <c r="F37" s="26">
        <v>97471</v>
      </c>
      <c r="G37" s="26">
        <v>100036</v>
      </c>
      <c r="H37" s="26">
        <v>17270</v>
      </c>
      <c r="I37" s="26">
        <v>18699</v>
      </c>
      <c r="J37" s="26">
        <v>18267</v>
      </c>
      <c r="K37" s="26">
        <v>22112</v>
      </c>
      <c r="L37" s="26">
        <v>17598</v>
      </c>
      <c r="M37" s="66">
        <v>17862</v>
      </c>
      <c r="N37" s="26">
        <v>19550</v>
      </c>
      <c r="O37" s="66">
        <v>21913</v>
      </c>
      <c r="P37" s="67">
        <f t="shared" si="2"/>
        <v>20011</v>
      </c>
      <c r="Q37" s="26">
        <f t="shared" si="3"/>
        <v>465330</v>
      </c>
      <c r="R37" s="53"/>
      <c r="S37" s="67">
        <f>28011-8000</f>
        <v>20011</v>
      </c>
      <c r="T37" s="257"/>
    </row>
    <row r="38" spans="1:22">
      <c r="A38" s="42"/>
      <c r="B38" s="73" t="s">
        <v>111</v>
      </c>
      <c r="C38" s="64">
        <f t="shared" si="1"/>
        <v>172320</v>
      </c>
      <c r="E38" s="26">
        <v>9936</v>
      </c>
      <c r="F38" s="26">
        <v>12538</v>
      </c>
      <c r="G38" s="26">
        <v>14380</v>
      </c>
      <c r="H38" s="26">
        <v>13242</v>
      </c>
      <c r="I38" s="26">
        <v>13950</v>
      </c>
      <c r="J38" s="26">
        <v>13894</v>
      </c>
      <c r="K38" s="26">
        <v>14479</v>
      </c>
      <c r="L38" s="26">
        <v>14019</v>
      </c>
      <c r="M38" s="66">
        <v>14604</v>
      </c>
      <c r="N38" s="26">
        <v>17101</v>
      </c>
      <c r="O38" s="66">
        <v>17744</v>
      </c>
      <c r="P38" s="67">
        <f t="shared" si="2"/>
        <v>16433</v>
      </c>
      <c r="Q38" s="26">
        <f t="shared" si="3"/>
        <v>172320</v>
      </c>
      <c r="R38" s="53"/>
      <c r="S38" s="67">
        <f>21433-5000</f>
        <v>16433</v>
      </c>
      <c r="T38" s="257"/>
    </row>
    <row r="39" spans="1:22">
      <c r="A39" s="42"/>
      <c r="B39" s="81" t="s">
        <v>112</v>
      </c>
      <c r="C39" s="64">
        <f t="shared" si="1"/>
        <v>511637</v>
      </c>
      <c r="E39" s="26">
        <v>83897</v>
      </c>
      <c r="F39" s="26">
        <v>97663</v>
      </c>
      <c r="G39" s="26">
        <v>104892</v>
      </c>
      <c r="H39" s="26">
        <v>18309</v>
      </c>
      <c r="I39" s="26">
        <v>18531</v>
      </c>
      <c r="J39" s="26">
        <v>20788</v>
      </c>
      <c r="K39" s="26">
        <v>23814</v>
      </c>
      <c r="L39" s="26">
        <v>25170</v>
      </c>
      <c r="M39" s="66">
        <v>25985</v>
      </c>
      <c r="N39" s="26">
        <v>26398</v>
      </c>
      <c r="O39" s="66">
        <v>29098</v>
      </c>
      <c r="P39" s="67">
        <f t="shared" si="2"/>
        <v>37092</v>
      </c>
      <c r="Q39" s="26">
        <f t="shared" si="3"/>
        <v>511637</v>
      </c>
      <c r="R39" s="53"/>
      <c r="S39" s="67">
        <f>38592-1500</f>
        <v>37092</v>
      </c>
      <c r="T39" s="257"/>
    </row>
    <row r="40" spans="1:22">
      <c r="A40" s="42"/>
      <c r="B40" s="73" t="s">
        <v>113</v>
      </c>
      <c r="C40" s="64">
        <f t="shared" si="1"/>
        <v>89158</v>
      </c>
      <c r="E40" s="26">
        <v>4567</v>
      </c>
      <c r="F40" s="26">
        <v>6195</v>
      </c>
      <c r="G40" s="26">
        <v>7780</v>
      </c>
      <c r="H40" s="26">
        <v>6787</v>
      </c>
      <c r="I40" s="26">
        <v>6513</v>
      </c>
      <c r="J40" s="26">
        <v>6379</v>
      </c>
      <c r="K40" s="26">
        <v>8087</v>
      </c>
      <c r="L40" s="26">
        <v>7289</v>
      </c>
      <c r="M40" s="66">
        <v>7371</v>
      </c>
      <c r="N40" s="26">
        <v>7361</v>
      </c>
      <c r="O40" s="66">
        <v>10241</v>
      </c>
      <c r="P40" s="67">
        <f t="shared" si="2"/>
        <v>10588</v>
      </c>
      <c r="Q40" s="26">
        <f t="shared" si="3"/>
        <v>89158</v>
      </c>
      <c r="R40" s="53"/>
      <c r="S40" s="67">
        <f>16588-6000</f>
        <v>10588</v>
      </c>
      <c r="T40" s="257"/>
    </row>
    <row r="41" spans="1:22">
      <c r="B41" s="79" t="s">
        <v>114</v>
      </c>
      <c r="C41" s="64">
        <f t="shared" si="1"/>
        <v>154217</v>
      </c>
      <c r="E41" s="26">
        <v>8634</v>
      </c>
      <c r="F41" s="26">
        <v>12252</v>
      </c>
      <c r="G41" s="26">
        <v>14755</v>
      </c>
      <c r="H41" s="26">
        <v>13640</v>
      </c>
      <c r="I41" s="26">
        <v>14098</v>
      </c>
      <c r="J41" s="26">
        <v>13688</v>
      </c>
      <c r="K41" s="26">
        <v>13772</v>
      </c>
      <c r="L41" s="26">
        <v>12073</v>
      </c>
      <c r="M41" s="66">
        <v>13051</v>
      </c>
      <c r="N41" s="26">
        <v>12967</v>
      </c>
      <c r="O41" s="66">
        <v>13275</v>
      </c>
      <c r="P41" s="67">
        <f t="shared" si="2"/>
        <v>12012</v>
      </c>
      <c r="Q41" s="26">
        <f t="shared" si="3"/>
        <v>154217</v>
      </c>
      <c r="R41" s="53"/>
      <c r="S41" s="67">
        <f>17012-5000</f>
        <v>12012</v>
      </c>
      <c r="T41" s="257"/>
    </row>
    <row r="42" spans="1:22">
      <c r="A42" s="42"/>
      <c r="B42" s="82" t="s">
        <v>115</v>
      </c>
      <c r="C42" s="64">
        <f t="shared" si="1"/>
        <v>360227</v>
      </c>
      <c r="E42" s="26">
        <v>8121</v>
      </c>
      <c r="F42" s="65">
        <v>8460</v>
      </c>
      <c r="G42" s="26">
        <v>10015</v>
      </c>
      <c r="H42" s="26">
        <v>25162</v>
      </c>
      <c r="I42" s="26">
        <v>44276</v>
      </c>
      <c r="J42" s="26">
        <v>48492</v>
      </c>
      <c r="K42" s="26">
        <v>47371</v>
      </c>
      <c r="L42" s="26">
        <v>35151</v>
      </c>
      <c r="M42" s="66">
        <v>28937</v>
      </c>
      <c r="N42" s="26">
        <v>40052</v>
      </c>
      <c r="O42" s="66">
        <v>34289</v>
      </c>
      <c r="P42" s="67">
        <f t="shared" si="2"/>
        <v>29901</v>
      </c>
      <c r="Q42" s="26">
        <f t="shared" si="3"/>
        <v>360227</v>
      </c>
      <c r="R42" s="53"/>
      <c r="S42" s="67">
        <v>29901</v>
      </c>
      <c r="T42" s="257"/>
    </row>
    <row r="43" spans="1:22">
      <c r="A43" s="42"/>
      <c r="B43" s="78" t="s">
        <v>116</v>
      </c>
      <c r="C43" s="64">
        <f t="shared" si="1"/>
        <v>112451</v>
      </c>
      <c r="E43" s="26">
        <v>6629</v>
      </c>
      <c r="F43" s="26">
        <v>9618</v>
      </c>
      <c r="G43" s="26">
        <v>10623</v>
      </c>
      <c r="H43" s="26">
        <v>8226</v>
      </c>
      <c r="I43" s="26">
        <v>8764</v>
      </c>
      <c r="J43" s="26">
        <v>8985</v>
      </c>
      <c r="K43" s="26">
        <v>10135</v>
      </c>
      <c r="L43" s="26">
        <v>9664</v>
      </c>
      <c r="M43" s="66">
        <v>8877</v>
      </c>
      <c r="N43" s="26">
        <v>10068</v>
      </c>
      <c r="O43" s="66">
        <v>10643</v>
      </c>
      <c r="P43" s="67">
        <f t="shared" si="2"/>
        <v>10219</v>
      </c>
      <c r="Q43" s="26">
        <f t="shared" si="3"/>
        <v>112451</v>
      </c>
      <c r="R43" s="53"/>
      <c r="S43" s="67">
        <f>13219-3000</f>
        <v>10219</v>
      </c>
      <c r="T43" s="257"/>
    </row>
    <row r="44" spans="1:22">
      <c r="B44" s="69" t="s">
        <v>117</v>
      </c>
      <c r="C44" s="64">
        <f t="shared" si="1"/>
        <v>140051</v>
      </c>
      <c r="E44" s="26">
        <v>4781</v>
      </c>
      <c r="F44" s="26">
        <v>6124</v>
      </c>
      <c r="G44" s="26">
        <v>8664</v>
      </c>
      <c r="H44" s="26">
        <v>8218</v>
      </c>
      <c r="I44" s="26">
        <v>10904</v>
      </c>
      <c r="J44" s="26">
        <v>12020</v>
      </c>
      <c r="K44" s="26">
        <v>12992</v>
      </c>
      <c r="L44" s="26">
        <v>13023</v>
      </c>
      <c r="M44" s="66">
        <v>12586</v>
      </c>
      <c r="N44" s="26">
        <v>12005</v>
      </c>
      <c r="O44" s="66">
        <v>13427</v>
      </c>
      <c r="P44" s="67">
        <f t="shared" si="2"/>
        <v>25307</v>
      </c>
      <c r="Q44" s="26">
        <f t="shared" si="3"/>
        <v>140051</v>
      </c>
      <c r="R44" s="53"/>
      <c r="S44" s="67">
        <v>25307</v>
      </c>
      <c r="T44" s="257"/>
    </row>
    <row r="45" spans="1:22">
      <c r="A45" s="42"/>
      <c r="B45" s="70" t="s">
        <v>118</v>
      </c>
      <c r="C45" s="64">
        <f t="shared" si="1"/>
        <v>231431</v>
      </c>
      <c r="E45" s="26">
        <v>26874</v>
      </c>
      <c r="F45" s="26">
        <v>28529</v>
      </c>
      <c r="G45" s="26">
        <v>35739</v>
      </c>
      <c r="H45" s="26">
        <v>15205</v>
      </c>
      <c r="I45" s="26">
        <v>16329</v>
      </c>
      <c r="J45" s="26">
        <v>17035</v>
      </c>
      <c r="K45" s="26">
        <v>23167</v>
      </c>
      <c r="L45" s="26">
        <v>17694</v>
      </c>
      <c r="M45" s="66">
        <v>11917</v>
      </c>
      <c r="N45" s="26">
        <v>12410</v>
      </c>
      <c r="O45" s="66">
        <v>12922</v>
      </c>
      <c r="P45" s="67">
        <f t="shared" si="2"/>
        <v>13610</v>
      </c>
      <c r="Q45" s="26">
        <f t="shared" si="3"/>
        <v>231431</v>
      </c>
      <c r="R45" s="53"/>
      <c r="S45" s="67">
        <f>32610-19000</f>
        <v>13610</v>
      </c>
      <c r="T45" s="257"/>
    </row>
    <row r="46" spans="1:22">
      <c r="A46" s="42"/>
      <c r="B46" s="63" t="s">
        <v>119</v>
      </c>
      <c r="C46" s="64">
        <f t="shared" si="1"/>
        <v>144877</v>
      </c>
      <c r="E46" s="26">
        <v>7270</v>
      </c>
      <c r="F46" s="26">
        <v>9926</v>
      </c>
      <c r="G46" s="26">
        <v>13283</v>
      </c>
      <c r="H46" s="26">
        <v>10680</v>
      </c>
      <c r="I46" s="26">
        <v>11253</v>
      </c>
      <c r="J46" s="26">
        <v>11401</v>
      </c>
      <c r="K46" s="26">
        <v>12614</v>
      </c>
      <c r="L46" s="26">
        <v>11792</v>
      </c>
      <c r="M46" s="66">
        <v>10913</v>
      </c>
      <c r="N46" s="26">
        <v>12267</v>
      </c>
      <c r="O46" s="66">
        <v>12640</v>
      </c>
      <c r="P46" s="67">
        <f t="shared" si="2"/>
        <v>20838</v>
      </c>
      <c r="Q46" s="26">
        <f t="shared" si="3"/>
        <v>144877</v>
      </c>
      <c r="R46" s="53"/>
      <c r="S46" s="67">
        <v>20838</v>
      </c>
      <c r="T46" s="257"/>
    </row>
    <row r="47" spans="1:22">
      <c r="A47" s="42"/>
      <c r="B47" s="70" t="s">
        <v>120</v>
      </c>
      <c r="C47" s="64">
        <f t="shared" si="1"/>
        <v>130461</v>
      </c>
      <c r="E47" s="26">
        <v>7441</v>
      </c>
      <c r="F47" s="26">
        <v>10032</v>
      </c>
      <c r="G47" s="26">
        <v>13372</v>
      </c>
      <c r="H47" s="26">
        <v>9840</v>
      </c>
      <c r="I47" s="26">
        <v>11264</v>
      </c>
      <c r="J47" s="26">
        <v>11972</v>
      </c>
      <c r="K47" s="26">
        <v>11799</v>
      </c>
      <c r="L47" s="26">
        <v>9778</v>
      </c>
      <c r="M47" s="66">
        <v>10338</v>
      </c>
      <c r="N47" s="26">
        <v>11452</v>
      </c>
      <c r="O47" s="66">
        <v>11883</v>
      </c>
      <c r="P47" s="67">
        <f t="shared" si="2"/>
        <v>11290</v>
      </c>
      <c r="Q47" s="26">
        <f t="shared" si="3"/>
        <v>130461</v>
      </c>
      <c r="R47" s="53"/>
      <c r="S47" s="67">
        <f>17290-6000</f>
        <v>11290</v>
      </c>
      <c r="T47" s="257"/>
      <c r="V47" s="40"/>
    </row>
    <row r="48" spans="1:22">
      <c r="A48" s="42"/>
      <c r="B48" s="69" t="s">
        <v>121</v>
      </c>
      <c r="C48" s="64">
        <f t="shared" si="1"/>
        <v>122871</v>
      </c>
      <c r="E48" s="26">
        <v>5403</v>
      </c>
      <c r="F48" s="26">
        <v>6878</v>
      </c>
      <c r="G48" s="26">
        <v>9267</v>
      </c>
      <c r="H48" s="26">
        <v>8309</v>
      </c>
      <c r="I48" s="26">
        <v>8957</v>
      </c>
      <c r="J48" s="26">
        <v>9178</v>
      </c>
      <c r="K48" s="26">
        <v>10060</v>
      </c>
      <c r="L48" s="26">
        <v>9827</v>
      </c>
      <c r="M48" s="66">
        <v>11036</v>
      </c>
      <c r="N48" s="26">
        <v>11910</v>
      </c>
      <c r="O48" s="66">
        <v>14076</v>
      </c>
      <c r="P48" s="67">
        <f t="shared" si="2"/>
        <v>17970</v>
      </c>
      <c r="Q48" s="26">
        <f t="shared" si="3"/>
        <v>122871</v>
      </c>
      <c r="R48" s="53"/>
      <c r="S48" s="67">
        <v>17970</v>
      </c>
      <c r="T48" s="257"/>
      <c r="V48" s="40"/>
    </row>
    <row r="49" spans="1:23">
      <c r="A49" s="42"/>
      <c r="B49" s="70" t="s">
        <v>205</v>
      </c>
      <c r="C49" s="64">
        <f t="shared" si="1"/>
        <v>194766</v>
      </c>
      <c r="E49" s="26">
        <v>14712</v>
      </c>
      <c r="F49" s="26">
        <v>16293</v>
      </c>
      <c r="G49" s="26">
        <v>14291</v>
      </c>
      <c r="H49" s="26">
        <v>12250</v>
      </c>
      <c r="I49" s="26">
        <v>16241</v>
      </c>
      <c r="J49" s="26">
        <v>17190</v>
      </c>
      <c r="K49" s="26">
        <v>17378</v>
      </c>
      <c r="L49" s="26">
        <v>15828</v>
      </c>
      <c r="M49" s="66">
        <v>15591</v>
      </c>
      <c r="N49" s="26">
        <v>16603</v>
      </c>
      <c r="O49" s="66">
        <v>19923</v>
      </c>
      <c r="P49" s="67">
        <f t="shared" si="2"/>
        <v>18466</v>
      </c>
      <c r="Q49" s="26">
        <f t="shared" si="3"/>
        <v>194766</v>
      </c>
      <c r="R49" s="53"/>
      <c r="S49" s="67">
        <f>26466-8000</f>
        <v>18466</v>
      </c>
      <c r="T49" s="257"/>
    </row>
    <row r="50" spans="1:23">
      <c r="A50" s="42"/>
      <c r="B50" s="69" t="s">
        <v>122</v>
      </c>
      <c r="C50" s="64">
        <f t="shared" si="1"/>
        <v>133317</v>
      </c>
      <c r="E50" s="26">
        <v>6283</v>
      </c>
      <c r="F50" s="26">
        <v>8636</v>
      </c>
      <c r="G50" s="26">
        <v>11004</v>
      </c>
      <c r="H50" s="26">
        <v>9648</v>
      </c>
      <c r="I50" s="26">
        <v>11578</v>
      </c>
      <c r="J50" s="26">
        <v>12520</v>
      </c>
      <c r="K50" s="26">
        <v>12924</v>
      </c>
      <c r="L50" s="26">
        <v>12194</v>
      </c>
      <c r="M50" s="66">
        <v>11755</v>
      </c>
      <c r="N50" s="26">
        <v>10770</v>
      </c>
      <c r="O50" s="66">
        <v>12852</v>
      </c>
      <c r="P50" s="67">
        <f t="shared" si="2"/>
        <v>13153</v>
      </c>
      <c r="Q50" s="26">
        <f t="shared" si="3"/>
        <v>133317</v>
      </c>
      <c r="R50" s="53"/>
      <c r="S50" s="67">
        <f>23153-10000</f>
        <v>13153</v>
      </c>
      <c r="T50" s="257"/>
    </row>
    <row r="51" spans="1:23">
      <c r="B51" s="70" t="s">
        <v>123</v>
      </c>
      <c r="C51" s="64">
        <f t="shared" si="1"/>
        <v>140958</v>
      </c>
      <c r="E51" s="26">
        <v>8119</v>
      </c>
      <c r="F51" s="26">
        <v>9499</v>
      </c>
      <c r="G51" s="26">
        <v>11196</v>
      </c>
      <c r="H51" s="26">
        <v>9926</v>
      </c>
      <c r="I51" s="26">
        <v>10510</v>
      </c>
      <c r="J51" s="26">
        <v>10677</v>
      </c>
      <c r="K51" s="26">
        <v>12514</v>
      </c>
      <c r="L51" s="26">
        <v>12787</v>
      </c>
      <c r="M51" s="66">
        <v>10906</v>
      </c>
      <c r="N51" s="26">
        <v>10861</v>
      </c>
      <c r="O51" s="66">
        <v>12195</v>
      </c>
      <c r="P51" s="67">
        <f t="shared" si="2"/>
        <v>21768</v>
      </c>
      <c r="Q51" s="26">
        <f t="shared" si="3"/>
        <v>140958</v>
      </c>
      <c r="R51" s="53"/>
      <c r="S51" s="67">
        <f>23968-2200</f>
        <v>21768</v>
      </c>
      <c r="T51" s="257"/>
    </row>
    <row r="52" spans="1:23">
      <c r="A52" s="42"/>
      <c r="B52" s="69" t="s">
        <v>124</v>
      </c>
      <c r="C52" s="64">
        <f t="shared" si="1"/>
        <v>200768</v>
      </c>
      <c r="E52" s="26">
        <v>12780</v>
      </c>
      <c r="F52" s="26">
        <v>18900</v>
      </c>
      <c r="G52" s="26">
        <v>21758</v>
      </c>
      <c r="H52" s="26">
        <v>18349</v>
      </c>
      <c r="I52" s="26">
        <v>16136</v>
      </c>
      <c r="J52" s="26">
        <v>18115</v>
      </c>
      <c r="K52" s="26">
        <v>17698</v>
      </c>
      <c r="L52" s="26">
        <v>16754</v>
      </c>
      <c r="M52" s="66">
        <v>15829</v>
      </c>
      <c r="N52" s="26">
        <v>15354</v>
      </c>
      <c r="O52" s="66">
        <v>15468</v>
      </c>
      <c r="P52" s="67">
        <f t="shared" si="2"/>
        <v>13627</v>
      </c>
      <c r="Q52" s="26">
        <f t="shared" si="3"/>
        <v>200768</v>
      </c>
      <c r="R52" s="53"/>
      <c r="S52" s="67">
        <f>30627-17000</f>
        <v>13627</v>
      </c>
      <c r="T52" s="257"/>
    </row>
    <row r="53" spans="1:23">
      <c r="A53" s="42"/>
      <c r="B53" s="69" t="s">
        <v>194</v>
      </c>
      <c r="C53" s="64">
        <f t="shared" si="1"/>
        <v>10693</v>
      </c>
      <c r="E53" s="26"/>
      <c r="F53" s="26"/>
      <c r="G53" s="26"/>
      <c r="H53" s="26"/>
      <c r="I53" s="26"/>
      <c r="J53" s="26"/>
      <c r="K53" s="26"/>
      <c r="L53" s="26"/>
      <c r="M53" s="66"/>
      <c r="N53" s="26"/>
      <c r="O53" s="66"/>
      <c r="P53" s="67">
        <f t="shared" si="2"/>
        <v>10693</v>
      </c>
      <c r="Q53" s="26">
        <f>+P53</f>
        <v>10693</v>
      </c>
      <c r="R53" s="53"/>
      <c r="S53" s="67">
        <f>13693-3000</f>
        <v>10693</v>
      </c>
      <c r="T53" s="257"/>
      <c r="U53" s="46"/>
      <c r="V53" s="25"/>
    </row>
    <row r="54" spans="1:23">
      <c r="B54" s="70" t="s">
        <v>125</v>
      </c>
      <c r="C54" s="64">
        <f t="shared" si="1"/>
        <v>216362</v>
      </c>
      <c r="E54" s="26">
        <v>9520</v>
      </c>
      <c r="F54" s="66">
        <v>11972</v>
      </c>
      <c r="G54" s="26">
        <v>12959</v>
      </c>
      <c r="H54" s="26">
        <v>14029</v>
      </c>
      <c r="I54" s="26">
        <v>19470</v>
      </c>
      <c r="J54" s="26">
        <v>12217</v>
      </c>
      <c r="K54" s="26">
        <v>22849</v>
      </c>
      <c r="L54" s="26">
        <v>23343</v>
      </c>
      <c r="M54" s="66">
        <v>23499</v>
      </c>
      <c r="N54" s="26">
        <v>21824</v>
      </c>
      <c r="O54" s="66">
        <f>24619-400</f>
        <v>24219</v>
      </c>
      <c r="P54" s="67">
        <f t="shared" si="2"/>
        <v>20461</v>
      </c>
      <c r="Q54" s="26">
        <f t="shared" si="3"/>
        <v>216362</v>
      </c>
      <c r="R54" s="53"/>
      <c r="S54" s="67">
        <v>20461</v>
      </c>
      <c r="T54" s="257"/>
      <c r="U54" s="46"/>
    </row>
    <row r="55" spans="1:23">
      <c r="B55" s="83" t="s">
        <v>126</v>
      </c>
      <c r="C55" s="424">
        <f>SUM(C9:C54)</f>
        <v>13673247</v>
      </c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67"/>
      <c r="Q55" s="26"/>
      <c r="R55" s="53"/>
      <c r="S55" s="53"/>
      <c r="T55" s="257">
        <f>SUM(T9:T54)</f>
        <v>0</v>
      </c>
      <c r="U55" s="46"/>
      <c r="V55" s="25"/>
    </row>
    <row r="56" spans="1:23" ht="9" hidden="1" customHeight="1">
      <c r="A56" s="42"/>
      <c r="B56" s="84"/>
      <c r="C56" s="425"/>
      <c r="D56" s="85"/>
      <c r="E56" s="86">
        <f t="shared" ref="E56:O56" si="4">SUM(E9:E55)</f>
        <v>1620552</v>
      </c>
      <c r="F56" s="86">
        <f t="shared" si="4"/>
        <v>1801249</v>
      </c>
      <c r="G56" s="86">
        <f t="shared" si="4"/>
        <v>1985691</v>
      </c>
      <c r="H56" s="86">
        <f t="shared" si="4"/>
        <v>779819</v>
      </c>
      <c r="I56" s="86">
        <f t="shared" si="4"/>
        <v>861891</v>
      </c>
      <c r="J56" s="86">
        <f t="shared" si="4"/>
        <v>937728</v>
      </c>
      <c r="K56" s="86">
        <f t="shared" si="4"/>
        <v>973738</v>
      </c>
      <c r="L56" s="86">
        <f t="shared" si="4"/>
        <v>828619</v>
      </c>
      <c r="M56" s="86">
        <f t="shared" si="4"/>
        <v>818819</v>
      </c>
      <c r="N56" s="86">
        <f t="shared" si="4"/>
        <v>909247</v>
      </c>
      <c r="O56" s="86">
        <f t="shared" si="4"/>
        <v>992964</v>
      </c>
      <c r="P56" s="87"/>
      <c r="Q56" s="88">
        <f t="shared" ref="Q56" si="5">SUM(F56:P56)</f>
        <v>10889765</v>
      </c>
      <c r="R56" s="89"/>
      <c r="S56" s="89"/>
    </row>
    <row r="57" spans="1:23">
      <c r="A57" s="42"/>
      <c r="B57" s="90"/>
      <c r="C57" s="413">
        <f>+C6+C55</f>
        <v>15709882</v>
      </c>
      <c r="D57" s="91"/>
      <c r="E57" s="60">
        <f t="shared" ref="E57:O57" si="6">SUM(E56)</f>
        <v>1620552</v>
      </c>
      <c r="F57" s="92">
        <f t="shared" si="6"/>
        <v>1801249</v>
      </c>
      <c r="G57" s="88">
        <f t="shared" si="6"/>
        <v>1985691</v>
      </c>
      <c r="H57" s="88">
        <f t="shared" si="6"/>
        <v>779819</v>
      </c>
      <c r="I57" s="88">
        <f t="shared" si="6"/>
        <v>861891</v>
      </c>
      <c r="J57" s="88">
        <f t="shared" si="6"/>
        <v>937728</v>
      </c>
      <c r="K57" s="88">
        <f t="shared" si="6"/>
        <v>973738</v>
      </c>
      <c r="L57" s="88">
        <f t="shared" si="6"/>
        <v>828619</v>
      </c>
      <c r="M57" s="88">
        <f t="shared" si="6"/>
        <v>818819</v>
      </c>
      <c r="N57" s="88">
        <f t="shared" si="6"/>
        <v>909247</v>
      </c>
      <c r="O57" s="88">
        <f t="shared" si="6"/>
        <v>992964</v>
      </c>
      <c r="P57" s="93">
        <f>SUM(P9:P56)</f>
        <v>1162930</v>
      </c>
      <c r="Q57" s="88">
        <f>SUM(E57:P57)</f>
        <v>13673247</v>
      </c>
      <c r="R57" s="53"/>
      <c r="S57" s="53"/>
      <c r="T57" s="27"/>
      <c r="V57" s="25"/>
    </row>
    <row r="58" spans="1:23">
      <c r="A58" s="42"/>
      <c r="B58" s="94" t="s">
        <v>58</v>
      </c>
      <c r="C58" s="414"/>
      <c r="D58" s="56"/>
      <c r="E58" s="26"/>
      <c r="F58" s="26"/>
      <c r="G58" s="26"/>
      <c r="H58" s="26"/>
      <c r="I58" s="26"/>
      <c r="J58" s="26"/>
      <c r="K58" s="26"/>
      <c r="L58" s="26"/>
      <c r="M58" s="26"/>
      <c r="N58" s="26" t="s">
        <v>199</v>
      </c>
      <c r="O58" s="26"/>
      <c r="P58" s="67"/>
      <c r="Q58" s="26"/>
      <c r="R58" s="53"/>
      <c r="S58" s="53"/>
      <c r="T58" s="27"/>
    </row>
    <row r="59" spans="1:23">
      <c r="B59" s="42"/>
      <c r="C59" s="42"/>
      <c r="D59" s="46" t="s">
        <v>127</v>
      </c>
      <c r="E59" s="95">
        <f t="shared" ref="E59:L59" si="7">+E6+E57</f>
        <v>1783535</v>
      </c>
      <c r="F59" s="95">
        <f t="shared" si="7"/>
        <v>1947931</v>
      </c>
      <c r="G59" s="95">
        <f t="shared" si="7"/>
        <v>2169695</v>
      </c>
      <c r="H59" s="95">
        <f t="shared" si="7"/>
        <v>1001151</v>
      </c>
      <c r="I59" s="95">
        <f t="shared" si="7"/>
        <v>1055849</v>
      </c>
      <c r="J59" s="95">
        <f t="shared" si="7"/>
        <v>1042149</v>
      </c>
      <c r="K59" s="95">
        <f t="shared" si="7"/>
        <v>1109222</v>
      </c>
      <c r="L59" s="95">
        <f t="shared" si="7"/>
        <v>1001808</v>
      </c>
      <c r="M59" s="95">
        <f>+M6+M57</f>
        <v>980029</v>
      </c>
      <c r="N59" s="95">
        <f>+N6+N57</f>
        <v>1071555</v>
      </c>
      <c r="O59" s="95">
        <f>+O6+O57</f>
        <v>1179185</v>
      </c>
      <c r="P59" s="96">
        <f>+P6+P57+P58</f>
        <v>1367773</v>
      </c>
      <c r="Q59" s="95">
        <f>+Q57+Q6</f>
        <v>15709882</v>
      </c>
      <c r="R59" s="97"/>
      <c r="S59" s="97"/>
      <c r="U59" s="23"/>
      <c r="W59" s="25"/>
    </row>
    <row r="60" spans="1:23">
      <c r="B60" s="98" t="s">
        <v>200</v>
      </c>
      <c r="C60" s="25"/>
      <c r="D60" s="85"/>
      <c r="E60" s="99"/>
      <c r="F60" s="62"/>
      <c r="G60" s="62"/>
      <c r="H60" s="100"/>
      <c r="I60" s="62"/>
      <c r="J60" s="62"/>
      <c r="K60" s="62"/>
      <c r="L60" s="62"/>
      <c r="M60" s="99"/>
      <c r="N60" s="62"/>
      <c r="O60" s="62"/>
      <c r="P60" s="62"/>
      <c r="Q60" s="62"/>
      <c r="R60" s="54"/>
      <c r="S60" s="54"/>
    </row>
    <row r="61" spans="1:23" ht="21.75" customHeight="1">
      <c r="C61" s="25"/>
      <c r="D61" s="85" t="s">
        <v>128</v>
      </c>
      <c r="E61" s="62">
        <v>154043917.94999999</v>
      </c>
      <c r="F61" s="62">
        <v>140893849.22999999</v>
      </c>
      <c r="G61" s="62">
        <v>148624107.5</v>
      </c>
      <c r="H61" s="62">
        <v>68115892.030000001</v>
      </c>
      <c r="I61" s="62">
        <v>70689877.209999993</v>
      </c>
      <c r="J61" s="62">
        <v>70757123</v>
      </c>
      <c r="K61" s="62">
        <v>69393520.280000001</v>
      </c>
      <c r="L61" s="62">
        <v>66429641.590000004</v>
      </c>
      <c r="M61" s="62">
        <v>63833486.350000001</v>
      </c>
      <c r="N61" s="62">
        <v>68021434.040000007</v>
      </c>
      <c r="O61" s="62">
        <v>74703158.079999998</v>
      </c>
      <c r="P61" s="62"/>
      <c r="Q61" s="101">
        <f>SUM(E61:P61)</f>
        <v>995506007.25999999</v>
      </c>
      <c r="R61" s="102"/>
      <c r="S61" s="102"/>
    </row>
    <row r="62" spans="1:23" ht="42.75" customHeight="1">
      <c r="C62" s="25"/>
      <c r="D62" s="85"/>
      <c r="E62" s="103"/>
      <c r="F62" s="103"/>
      <c r="G62" s="48"/>
      <c r="H62" s="104" t="s">
        <v>129</v>
      </c>
      <c r="I62" s="105" t="s">
        <v>130</v>
      </c>
      <c r="J62" s="106" t="s">
        <v>131</v>
      </c>
      <c r="K62" s="106" t="s">
        <v>132</v>
      </c>
      <c r="L62" s="103" t="s">
        <v>133</v>
      </c>
      <c r="M62" s="103" t="s">
        <v>134</v>
      </c>
      <c r="N62" s="42"/>
      <c r="O62" s="48"/>
      <c r="P62" s="42"/>
      <c r="Q62" s="42"/>
      <c r="R62" s="42"/>
      <c r="S62" s="42"/>
    </row>
    <row r="63" spans="1:23">
      <c r="B63" s="25" t="s">
        <v>149</v>
      </c>
      <c r="C63" s="28">
        <f>+C55</f>
        <v>13673247</v>
      </c>
      <c r="E63" s="54" t="e">
        <f>+#REF!</f>
        <v>#REF!</v>
      </c>
      <c r="F63" s="48"/>
      <c r="G63" s="48"/>
      <c r="H63" s="54" t="s">
        <v>135</v>
      </c>
      <c r="I63" s="48" t="s">
        <v>136</v>
      </c>
      <c r="J63" s="48" t="s">
        <v>137</v>
      </c>
      <c r="K63" s="107" t="s">
        <v>138</v>
      </c>
      <c r="L63" s="107" t="s">
        <v>139</v>
      </c>
      <c r="M63" s="108"/>
      <c r="N63" s="42"/>
      <c r="O63" s="48"/>
      <c r="Q63" s="48"/>
      <c r="R63" s="48"/>
      <c r="S63" s="48"/>
    </row>
    <row r="64" spans="1:23">
      <c r="B64" t="s">
        <v>206</v>
      </c>
      <c r="C64" s="28">
        <v>2036635</v>
      </c>
      <c r="D64" s="109"/>
      <c r="E64" s="54" t="e">
        <f>+#REF!</f>
        <v>#REF!</v>
      </c>
      <c r="F64" s="103"/>
      <c r="G64" s="53"/>
      <c r="H64" s="103"/>
      <c r="I64" s="54"/>
      <c r="J64" s="42"/>
      <c r="K64" s="48"/>
      <c r="L64" s="42"/>
      <c r="M64" s="54"/>
      <c r="N64" s="42"/>
      <c r="O64" s="48"/>
      <c r="P64" s="42"/>
      <c r="Q64" s="108"/>
      <c r="R64" s="103"/>
      <c r="S64" s="103"/>
    </row>
    <row r="65" spans="2:19">
      <c r="B65" t="s">
        <v>207</v>
      </c>
      <c r="C65" s="28" t="e">
        <f>+#REF!</f>
        <v>#REF!</v>
      </c>
      <c r="D65" s="109"/>
      <c r="E65" s="54" t="e">
        <f>+#REF!</f>
        <v>#REF!</v>
      </c>
      <c r="F65" s="103"/>
      <c r="G65" s="53"/>
      <c r="H65" s="103"/>
      <c r="I65" s="54"/>
      <c r="J65" s="42"/>
      <c r="K65" s="48"/>
      <c r="L65" s="42"/>
      <c r="M65" s="54"/>
      <c r="N65" s="42"/>
      <c r="O65" s="48"/>
      <c r="P65" s="42"/>
      <c r="Q65" s="108"/>
      <c r="R65" s="103"/>
      <c r="S65" s="103"/>
    </row>
    <row r="66" spans="2:19">
      <c r="C66" s="253" t="e">
        <f>SUM(C63:C65)</f>
        <v>#REF!</v>
      </c>
      <c r="D66" s="254"/>
      <c r="E66" s="258" t="e">
        <f>SUM(E63:E65)</f>
        <v>#REF!</v>
      </c>
      <c r="F66" s="42"/>
      <c r="G66" s="48"/>
      <c r="H66" s="48"/>
      <c r="I66" s="42"/>
      <c r="J66" s="108"/>
      <c r="K66" s="48"/>
      <c r="L66" s="42"/>
      <c r="M66" s="42"/>
      <c r="N66" s="42"/>
      <c r="O66" s="42"/>
      <c r="P66" s="53"/>
      <c r="Q66" s="103"/>
      <c r="R66" s="42"/>
      <c r="S66" s="42"/>
    </row>
    <row r="67" spans="2:19">
      <c r="C67" s="27"/>
      <c r="D67" s="110"/>
      <c r="K67" s="48"/>
      <c r="L67" s="42"/>
      <c r="M67" s="42"/>
      <c r="N67" s="42"/>
      <c r="O67" s="42"/>
      <c r="P67" s="108"/>
      <c r="Q67" s="42"/>
      <c r="R67" s="42"/>
      <c r="S67" s="42"/>
    </row>
    <row r="68" spans="2:19">
      <c r="B68" t="s">
        <v>201</v>
      </c>
      <c r="C68" s="111">
        <f>+'[5]RELACION RACIONES COCIDAS'!$F$186</f>
        <v>3267717442.4000001</v>
      </c>
      <c r="D68" s="43"/>
      <c r="K68" s="48"/>
      <c r="L68" s="412" t="s">
        <v>208</v>
      </c>
      <c r="M68" s="412"/>
      <c r="N68" s="412"/>
      <c r="O68" s="42"/>
      <c r="P68" s="54"/>
      <c r="Q68" s="103"/>
      <c r="R68" s="42"/>
      <c r="S68" s="42"/>
    </row>
    <row r="69" spans="2:19" ht="15.75" thickBot="1">
      <c r="C69" s="27"/>
      <c r="D69" s="43"/>
      <c r="K69" s="42"/>
      <c r="L69" s="42"/>
      <c r="M69" s="42"/>
      <c r="N69" s="46"/>
      <c r="O69" s="42"/>
      <c r="P69" s="42"/>
      <c r="Q69" s="42"/>
      <c r="R69" s="42"/>
      <c r="S69" s="42"/>
    </row>
    <row r="70" spans="2:19">
      <c r="C70" s="27"/>
      <c r="D70" s="43"/>
      <c r="K70" s="42"/>
      <c r="L70" s="227"/>
      <c r="M70" s="228"/>
      <c r="N70" s="229"/>
      <c r="O70" s="42"/>
      <c r="P70" s="42"/>
      <c r="Q70" s="54"/>
      <c r="R70" s="42"/>
      <c r="S70" s="42"/>
    </row>
    <row r="71" spans="2:19">
      <c r="C71" s="28"/>
      <c r="K71" s="42"/>
      <c r="L71" s="230" t="s">
        <v>202</v>
      </c>
      <c r="M71" s="42"/>
      <c r="N71" s="28">
        <f>52973+1202673</f>
        <v>1255646</v>
      </c>
      <c r="O71" s="54"/>
      <c r="P71" s="53"/>
      <c r="Q71" s="103"/>
      <c r="R71" s="42"/>
      <c r="S71" s="42"/>
    </row>
    <row r="72" spans="2:19">
      <c r="B72" t="s">
        <v>158</v>
      </c>
      <c r="C72" s="40"/>
      <c r="L72" s="231" t="s">
        <v>187</v>
      </c>
      <c r="M72" s="53">
        <v>204843</v>
      </c>
      <c r="N72" s="232"/>
      <c r="O72" s="23"/>
      <c r="Q72" s="25"/>
    </row>
    <row r="73" spans="2:19">
      <c r="C73" s="27"/>
      <c r="L73" s="230" t="s">
        <v>188</v>
      </c>
      <c r="M73" s="103">
        <v>1050805</v>
      </c>
      <c r="N73" s="233"/>
      <c r="O73" s="68"/>
      <c r="P73" s="27"/>
      <c r="Q73" s="28"/>
    </row>
    <row r="74" spans="2:19">
      <c r="C74" s="27"/>
      <c r="L74" s="231" t="s">
        <v>189</v>
      </c>
      <c r="M74" s="234">
        <f>SUM(M72:M73)</f>
        <v>1255648</v>
      </c>
      <c r="N74" s="233"/>
      <c r="Q74" s="27"/>
    </row>
    <row r="75" spans="2:19" ht="15.75" thickBot="1">
      <c r="C75" s="27"/>
      <c r="L75" s="235"/>
      <c r="M75" s="236"/>
      <c r="N75" s="237" t="s">
        <v>190</v>
      </c>
      <c r="P75" s="27"/>
      <c r="Q75" s="25"/>
      <c r="R75" s="27"/>
    </row>
    <row r="76" spans="2:19">
      <c r="M76" s="27"/>
      <c r="N76" s="109"/>
      <c r="O76" s="23"/>
      <c r="R76" s="27"/>
    </row>
    <row r="77" spans="2:19">
      <c r="L77" t="s">
        <v>203</v>
      </c>
      <c r="M77" s="27"/>
      <c r="N77" s="27"/>
      <c r="O77" s="23"/>
    </row>
    <row r="78" spans="2:19" ht="15.75" thickBot="1">
      <c r="L78" t="s">
        <v>204</v>
      </c>
      <c r="M78" s="27"/>
      <c r="N78" s="27"/>
      <c r="O78" s="23"/>
    </row>
    <row r="79" spans="2:19">
      <c r="E79" s="25"/>
      <c r="F79" s="27"/>
      <c r="L79" s="227"/>
      <c r="M79" s="228"/>
      <c r="N79" s="228"/>
      <c r="O79" s="238"/>
      <c r="R79" s="243"/>
    </row>
    <row r="80" spans="2:19">
      <c r="B80" s="27"/>
      <c r="L80" s="231" t="s">
        <v>191</v>
      </c>
      <c r="M80" s="42"/>
      <c r="N80" s="103"/>
      <c r="O80" s="239"/>
      <c r="R80" s="25"/>
      <c r="S80" s="25"/>
    </row>
    <row r="81" spans="2:21">
      <c r="L81" s="231" t="s">
        <v>195</v>
      </c>
      <c r="M81" s="53">
        <v>1162930</v>
      </c>
      <c r="N81" s="42">
        <f>+M81*60.19</f>
        <v>69996756.700000003</v>
      </c>
      <c r="O81" s="240"/>
      <c r="R81" s="25"/>
      <c r="S81" s="25"/>
      <c r="T81" s="28"/>
    </row>
    <row r="82" spans="2:21">
      <c r="B82" s="27"/>
      <c r="L82" s="231" t="s">
        <v>192</v>
      </c>
      <c r="M82" s="103">
        <v>591722</v>
      </c>
      <c r="N82" s="54">
        <f>+M82*60.19</f>
        <v>35615747.18</v>
      </c>
      <c r="O82" s="239"/>
      <c r="P82" s="25"/>
      <c r="R82" s="25"/>
      <c r="S82" s="25"/>
      <c r="T82" s="28"/>
    </row>
    <row r="83" spans="2:21">
      <c r="L83" s="231" t="s">
        <v>189</v>
      </c>
      <c r="M83" s="234">
        <f>SUM(M81:M82)</f>
        <v>1754652</v>
      </c>
      <c r="N83" s="54">
        <f>SUM(N81:N82)</f>
        <v>105612503.88</v>
      </c>
      <c r="O83" s="239"/>
      <c r="T83" s="23"/>
      <c r="U83" s="25"/>
    </row>
    <row r="84" spans="2:21" ht="15.75" thickBot="1">
      <c r="L84" s="235"/>
      <c r="M84" s="241"/>
      <c r="N84" s="241"/>
      <c r="O84" s="242"/>
      <c r="T84" s="25"/>
    </row>
    <row r="86" spans="2:21" ht="15.75" thickBot="1"/>
    <row r="87" spans="2:21">
      <c r="L87" s="227"/>
      <c r="M87" s="228" t="s">
        <v>196</v>
      </c>
      <c r="N87" s="228"/>
      <c r="O87" s="244">
        <v>5702671</v>
      </c>
    </row>
    <row r="88" spans="2:21" ht="8.25" customHeight="1">
      <c r="L88" s="231"/>
      <c r="M88" s="53"/>
      <c r="N88" s="42"/>
      <c r="O88" s="239"/>
      <c r="T88" s="42"/>
    </row>
    <row r="89" spans="2:21">
      <c r="L89" s="230" t="s">
        <v>188</v>
      </c>
      <c r="M89" s="103">
        <f>+M73</f>
        <v>1050805</v>
      </c>
      <c r="N89" s="53">
        <v>2152339</v>
      </c>
      <c r="O89" s="239"/>
    </row>
    <row r="90" spans="2:21">
      <c r="L90" s="231" t="s">
        <v>192</v>
      </c>
      <c r="M90" s="103">
        <f>+M82</f>
        <v>591722</v>
      </c>
      <c r="N90" s="53">
        <f>+M90*6</f>
        <v>3550332</v>
      </c>
      <c r="O90" s="245"/>
      <c r="R90" s="27"/>
      <c r="S90" s="27"/>
      <c r="T90" s="103"/>
    </row>
    <row r="91" spans="2:21">
      <c r="L91" s="231"/>
      <c r="M91" s="103">
        <f>SUM(M89:M90)</f>
        <v>1642527</v>
      </c>
      <c r="N91" s="103">
        <f>SUM(N89:N90)</f>
        <v>5702671</v>
      </c>
      <c r="O91" s="240"/>
      <c r="R91" s="28"/>
      <c r="S91" s="28"/>
    </row>
    <row r="92" spans="2:21">
      <c r="L92" s="231" t="s">
        <v>197</v>
      </c>
      <c r="M92" s="42"/>
      <c r="N92" s="42"/>
      <c r="O92" s="240"/>
      <c r="R92" s="28"/>
      <c r="S92" s="28"/>
    </row>
    <row r="93" spans="2:21" ht="15.75" thickBot="1">
      <c r="L93" s="235" t="s">
        <v>198</v>
      </c>
      <c r="M93" s="241"/>
      <c r="N93" s="241"/>
      <c r="O93" s="246"/>
      <c r="U93" s="25">
        <f>+O87-R90</f>
        <v>5702671</v>
      </c>
    </row>
    <row r="94" spans="2:21">
      <c r="O94" s="23"/>
      <c r="Q94" s="25"/>
    </row>
  </sheetData>
  <mergeCells count="8">
    <mergeCell ref="L68:N68"/>
    <mergeCell ref="C57:C58"/>
    <mergeCell ref="B2:C2"/>
    <mergeCell ref="B3:C3"/>
    <mergeCell ref="C4:C5"/>
    <mergeCell ref="C6:C7"/>
    <mergeCell ref="B8:C8"/>
    <mergeCell ref="C55:C5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UASD 2022</vt:lpstr>
      <vt:lpstr>UASD 2024</vt:lpstr>
      <vt:lpstr>UASD 2023</vt:lpstr>
      <vt:lpstr>COCIDAS 2024 DETALLE CM</vt:lpstr>
      <vt:lpstr>COCIDAS 2023</vt:lpstr>
      <vt:lpstr>Hoja2</vt:lpstr>
      <vt:lpstr>Hoja1</vt:lpstr>
      <vt:lpstr>COCIDA 2020</vt:lpstr>
      <vt:lpstr>COCIDA 2021</vt:lpstr>
      <vt:lpstr>COCIDA 2022</vt:lpstr>
      <vt:lpstr>COCIDAS 2024 </vt:lpstr>
      <vt:lpstr>CRUDAS </vt:lpstr>
      <vt:lpstr>Comedores Nuevo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Planificacion 6</cp:lastModifiedBy>
  <cp:lastPrinted>2024-10-11T14:23:32Z</cp:lastPrinted>
  <dcterms:created xsi:type="dcterms:W3CDTF">2022-06-07T13:05:07Z</dcterms:created>
  <dcterms:modified xsi:type="dcterms:W3CDTF">2024-10-11T14:23:33Z</dcterms:modified>
</cp:coreProperties>
</file>