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e_\Dropbox\COMEDORES ECONOMICOS-LICITACIONES\2023\CEED-CP-2022-0001 (REMODELACIONES)\"/>
    </mc:Choice>
  </mc:AlternateContent>
  <bookViews>
    <workbookView xWindow="0" yWindow="0" windowWidth="23040" windowHeight="8904"/>
  </bookViews>
  <sheets>
    <sheet name="chocolatera" sheetId="1" r:id="rId1"/>
  </sheets>
  <externalReferences>
    <externalReference r:id="rId2"/>
    <externalReference r:id="rId3"/>
    <externalReference r:id="rId4"/>
    <externalReference r:id="rId5"/>
    <externalReference r:id="rId6"/>
  </externalReferences>
  <definedNames>
    <definedName name="ABULT" localSheetId="0">#REF!</definedName>
    <definedName name="ABULT">#REF!</definedName>
    <definedName name="Acero_Apoyo_Der" localSheetId="0">#REF!</definedName>
    <definedName name="Acero_Apoyo_Der">#REF!</definedName>
    <definedName name="Acero_Apoyo_Inf" localSheetId="0">#REF!</definedName>
    <definedName name="Acero_Apoyo_Inf">#REF!</definedName>
    <definedName name="Acero_Apoyo_Izq" localSheetId="0">#REF!</definedName>
    <definedName name="Acero_Apoyo_Izq">#REF!</definedName>
    <definedName name="Acero_Apoyo_Sup" localSheetId="0">#REF!</definedName>
    <definedName name="Acero_Apoyo_Sup">#REF!</definedName>
    <definedName name="Acero_Especial_X1" localSheetId="0">#REF!</definedName>
    <definedName name="Acero_Especial_X1">#REF!</definedName>
    <definedName name="Acero_Especial_Y1" localSheetId="0">#REF!</definedName>
    <definedName name="Acero_Especial_Y1">#REF!</definedName>
    <definedName name="Acero_Px" localSheetId="0">#REF!</definedName>
    <definedName name="Acero_Px">#REF!</definedName>
    <definedName name="Acero_Px1" localSheetId="0">#REF!</definedName>
    <definedName name="Acero_Px1">#REF!</definedName>
    <definedName name="Acero_Px2" localSheetId="0">#REF!</definedName>
    <definedName name="Acero_Px2">#REF!</definedName>
    <definedName name="Acero_Py1" localSheetId="0">#REF!</definedName>
    <definedName name="Acero_Py1">#REF!</definedName>
    <definedName name="Acero_Py2" localSheetId="0">#REF!</definedName>
    <definedName name="Acero_Py2">#REF!</definedName>
    <definedName name="_xlnm.Print_Area" localSheetId="0">chocolatera!$A$1:$G$286</definedName>
    <definedName name="AREA1" localSheetId="0">#REF!</definedName>
    <definedName name="AREA1">#REF!</definedName>
    <definedName name="AREA12" localSheetId="0">#REF!</definedName>
    <definedName name="AREA12">#REF!</definedName>
    <definedName name="AREA34" localSheetId="0">#REF!</definedName>
    <definedName name="AREA34">#REF!</definedName>
    <definedName name="AREA38" localSheetId="0">#REF!</definedName>
    <definedName name="AREA38">#REF!</definedName>
    <definedName name="ARQSA" localSheetId="0">#REF!</definedName>
    <definedName name="ARQSA">#REF!</definedName>
    <definedName name="BAÑERAHFBCA" localSheetId="0">[3]Ana!#REF!</definedName>
    <definedName name="BAÑERAHFBCA">[3]Ana!#REF!</definedName>
    <definedName name="BAÑERAHFCOL" localSheetId="0">[3]Ana!#REF!</definedName>
    <definedName name="BAÑERAHFCOL">[3]Ana!#REF!</definedName>
    <definedName name="BAÑERALIV" localSheetId="0">[3]Ana!#REF!</definedName>
    <definedName name="BAÑERALIV">[3]Ana!#REF!</definedName>
    <definedName name="BIDETBCO" localSheetId="0">[3]Ana!#REF!</definedName>
    <definedName name="BIDETBCO">[3]Ana!#REF!</definedName>
    <definedName name="BIDETBCOPVC" localSheetId="0">#REF!</definedName>
    <definedName name="BIDETBCOPVC">#REF!</definedName>
    <definedName name="BIDETCOL" localSheetId="0">[3]Ana!#REF!</definedName>
    <definedName name="BIDETCOL">[3]Ana!#REF!</definedName>
    <definedName name="CIUPAISJAGS" localSheetId="0">#REF!</definedName>
    <definedName name="CIUPAISJAGS">#REF!</definedName>
    <definedName name="CIUPAISPROY" localSheetId="0">#REF!</definedName>
    <definedName name="CIUPAISPROY">#REF!</definedName>
    <definedName name="COLABORA1" localSheetId="0">#REF!</definedName>
    <definedName name="COLABORA1">#REF!</definedName>
    <definedName name="COLABORA2" localSheetId="0">#REF!</definedName>
    <definedName name="COLABORA2">#REF!</definedName>
    <definedName name="CONTRA1" localSheetId="0">#REF!</definedName>
    <definedName name="CONTRA1">#REF!</definedName>
    <definedName name="CONTRA2" localSheetId="0">#REF!</definedName>
    <definedName name="CONTRA2">#REF!</definedName>
    <definedName name="DESPACE1" localSheetId="0">#REF!</definedName>
    <definedName name="DESPACE1">#REF!</definedName>
    <definedName name="DESPACE2" localSheetId="0">#REF!</definedName>
    <definedName name="DESPACE2">#REF!</definedName>
    <definedName name="DESPACEMALLA" localSheetId="0">#REF!</definedName>
    <definedName name="DESPACEMALLA">#REF!</definedName>
    <definedName name="DESPCLA" localSheetId="0">#REF!</definedName>
    <definedName name="DESPCLA">#REF!</definedName>
    <definedName name="DESPMAD1" localSheetId="0">#REF!</definedName>
    <definedName name="DESPMAD1">#REF!</definedName>
    <definedName name="DESPMAD2" localSheetId="0">#REF!</definedName>
    <definedName name="DESPMAD2">#REF!</definedName>
    <definedName name="DIRJAGS" localSheetId="0">#REF!</definedName>
    <definedName name="DIRJAGS">#REF!</definedName>
    <definedName name="DIRPROY" localSheetId="0">#REF!</definedName>
    <definedName name="DIRPROY">#REF!</definedName>
    <definedName name="EMAILARQSA" localSheetId="0">#REF!</definedName>
    <definedName name="EMAILARQSA">#REF!</definedName>
    <definedName name="EMAILJAGS" localSheetId="0">#REF!</definedName>
    <definedName name="EMAILJAGS">#REF!</definedName>
    <definedName name="ESCMARAGLPR">[3]Ana!$M$452</definedName>
    <definedName name="FECHACREACION" localSheetId="0">#REF!</definedName>
    <definedName name="FECHACREACION">#REF!</definedName>
    <definedName name="GAS">[3]Ins!$E$434</definedName>
    <definedName name="GASOLINA">[4]Ins!$E$434</definedName>
    <definedName name="JAGS" localSheetId="0">#REF!</definedName>
    <definedName name="JAGS">#REF!</definedName>
    <definedName name="MOJO">[5]MOJornal!$A$7</definedName>
    <definedName name="PLIGADORA2">[3]Herram!$E$26</definedName>
    <definedName name="PROP" localSheetId="0">#REF!</definedName>
    <definedName name="PROP">#REF!</definedName>
    <definedName name="PROY" localSheetId="0">#REF!</definedName>
    <definedName name="PROY">#REF!</definedName>
    <definedName name="PTAFRANROBLE" localSheetId="0">#REF!</definedName>
    <definedName name="PTAFRANROBLE">#REF!</definedName>
    <definedName name="PTAPANCORROBLE" localSheetId="0">#REF!</definedName>
    <definedName name="PTAPANCORROBLE">#REF!</definedName>
    <definedName name="PTAPANESPROBLE" localSheetId="0">#REF!</definedName>
    <definedName name="PTAPANESPROBLE">#REF!</definedName>
    <definedName name="PTAPANVAIVENROBLE" localSheetId="0">#REF!</definedName>
    <definedName name="PTAPANVAIVENROBLE">#REF!</definedName>
    <definedName name="PWINCHE2000K">[3]Herram!$E$152</definedName>
    <definedName name="RNCARQSA" localSheetId="0">#REF!</definedName>
    <definedName name="RNCARQSA">#REF!</definedName>
    <definedName name="RNCJAGS" localSheetId="0">#REF!</definedName>
    <definedName name="RNCJAGS">#REF!</definedName>
    <definedName name="TELJAGS" localSheetId="0">#REF!</definedName>
    <definedName name="TELJAGS">#REF!</definedName>
    <definedName name="_xlnm.Print_Titles" localSheetId="0">chocolatera!$2:$11</definedName>
    <definedName name="USOSMADERA" localSheetId="0">#REF!</definedName>
    <definedName name="USOSMADERA">#REF!</definedName>
    <definedName name="VENT2SDR41" localSheetId="0">[3]Ana!#REF!</definedName>
    <definedName name="VENT2SDR41">[3]Ana!#REF!</definedName>
    <definedName name="VENT3SDR41" localSheetId="0">[3]Ana!#REF!</definedName>
    <definedName name="VENT3SDR41">[3]Ana!#REF!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7" i="1" l="1"/>
  <c r="F247" i="1" s="1"/>
  <c r="F246" i="1"/>
  <c r="F245" i="1"/>
  <c r="F244" i="1"/>
  <c r="F243" i="1"/>
  <c r="F242" i="1"/>
  <c r="F241" i="1"/>
  <c r="F240" i="1"/>
  <c r="F239" i="1"/>
  <c r="C238" i="1"/>
  <c r="F238" i="1" s="1"/>
  <c r="F237" i="1"/>
  <c r="F236" i="1"/>
  <c r="F235" i="1"/>
  <c r="F234" i="1"/>
  <c r="F233" i="1"/>
  <c r="F232" i="1"/>
  <c r="F231" i="1"/>
  <c r="F230" i="1"/>
  <c r="F229" i="1"/>
  <c r="C229" i="1"/>
  <c r="F228" i="1"/>
  <c r="F227" i="1"/>
  <c r="F226" i="1"/>
  <c r="A226" i="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F225" i="1"/>
  <c r="G247" i="1" s="1"/>
  <c r="A225" i="1"/>
  <c r="A219" i="1"/>
  <c r="A220" i="1" s="1"/>
  <c r="A221" i="1" s="1"/>
  <c r="A222" i="1" s="1"/>
  <c r="A218"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C188" i="1"/>
  <c r="A188" i="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C187" i="1"/>
  <c r="F187" i="1" s="1"/>
  <c r="G215" i="1" s="1"/>
  <c r="A187" i="1"/>
  <c r="C184" i="1"/>
  <c r="F184" i="1" s="1"/>
  <c r="F183" i="1"/>
  <c r="F182" i="1"/>
  <c r="F181" i="1"/>
  <c r="F180" i="1"/>
  <c r="F179" i="1"/>
  <c r="F178" i="1"/>
  <c r="F177" i="1"/>
  <c r="F176" i="1"/>
  <c r="F175" i="1"/>
  <c r="F174" i="1"/>
  <c r="F173" i="1"/>
  <c r="F172" i="1"/>
  <c r="F171" i="1"/>
  <c r="F170" i="1"/>
  <c r="F169" i="1"/>
  <c r="F168" i="1"/>
  <c r="F167" i="1"/>
  <c r="F166" i="1"/>
  <c r="F165" i="1"/>
  <c r="F164" i="1"/>
  <c r="F163" i="1"/>
  <c r="F162" i="1"/>
  <c r="C162" i="1"/>
  <c r="F161" i="1"/>
  <c r="F160" i="1"/>
  <c r="F159" i="1"/>
  <c r="F158" i="1"/>
  <c r="F157" i="1"/>
  <c r="G184" i="1" s="1"/>
  <c r="F156" i="1"/>
  <c r="A156" i="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F153" i="1"/>
  <c r="A153" i="1"/>
  <c r="F152" i="1"/>
  <c r="G153" i="1" s="1"/>
  <c r="A152" i="1"/>
  <c r="F148" i="1"/>
  <c r="F147" i="1"/>
  <c r="F146" i="1"/>
  <c r="F145" i="1"/>
  <c r="F144" i="1"/>
  <c r="F143" i="1"/>
  <c r="F142" i="1"/>
  <c r="F141" i="1"/>
  <c r="F140" i="1"/>
  <c r="F139" i="1"/>
  <c r="F138" i="1"/>
  <c r="G149" i="1" s="1"/>
  <c r="F137" i="1"/>
  <c r="A137" i="1"/>
  <c r="A138" i="1" s="1"/>
  <c r="A139" i="1" s="1"/>
  <c r="A140" i="1" s="1"/>
  <c r="A141" i="1" s="1"/>
  <c r="A142" i="1" s="1"/>
  <c r="A143" i="1" s="1"/>
  <c r="A144" i="1" s="1"/>
  <c r="A145" i="1" s="1"/>
  <c r="A146" i="1" s="1"/>
  <c r="A147" i="1" s="1"/>
  <c r="A148" i="1" s="1"/>
  <c r="F133" i="1"/>
  <c r="C133" i="1"/>
  <c r="F132" i="1"/>
  <c r="C132" i="1"/>
  <c r="F131" i="1"/>
  <c r="C131" i="1"/>
  <c r="C130" i="1"/>
  <c r="F130" i="1" s="1"/>
  <c r="A130" i="1"/>
  <c r="A131" i="1" s="1"/>
  <c r="A132" i="1" s="1"/>
  <c r="A133" i="1" s="1"/>
  <c r="F129" i="1"/>
  <c r="C129" i="1"/>
  <c r="A129" i="1"/>
  <c r="F126" i="1"/>
  <c r="C126" i="1"/>
  <c r="F125" i="1"/>
  <c r="F124" i="1"/>
  <c r="F123" i="1"/>
  <c r="F122" i="1"/>
  <c r="F121" i="1"/>
  <c r="F120" i="1"/>
  <c r="F119" i="1"/>
  <c r="F118" i="1"/>
  <c r="F117" i="1"/>
  <c r="F116" i="1"/>
  <c r="F115" i="1"/>
  <c r="G127" i="1" s="1"/>
  <c r="A115" i="1"/>
  <c r="A116" i="1" s="1"/>
  <c r="A117" i="1" s="1"/>
  <c r="A118" i="1" s="1"/>
  <c r="A119" i="1" s="1"/>
  <c r="A120" i="1" s="1"/>
  <c r="A121" i="1" s="1"/>
  <c r="A122" i="1" s="1"/>
  <c r="A123" i="1" s="1"/>
  <c r="A124" i="1" s="1"/>
  <c r="A125" i="1" s="1"/>
  <c r="A126" i="1" s="1"/>
  <c r="F111" i="1"/>
  <c r="F110" i="1"/>
  <c r="F109" i="1"/>
  <c r="C109" i="1"/>
  <c r="C108" i="1"/>
  <c r="F108" i="1" s="1"/>
  <c r="F107" i="1"/>
  <c r="C107" i="1"/>
  <c r="F106" i="1"/>
  <c r="C105" i="1"/>
  <c r="F105" i="1" s="1"/>
  <c r="C104" i="1"/>
  <c r="F104" i="1" s="1"/>
  <c r="C103" i="1"/>
  <c r="F103" i="1" s="1"/>
  <c r="C102" i="1"/>
  <c r="F102" i="1" s="1"/>
  <c r="C101" i="1"/>
  <c r="F101" i="1" s="1"/>
  <c r="F100" i="1"/>
  <c r="C100" i="1"/>
  <c r="A100" i="1"/>
  <c r="A101" i="1" s="1"/>
  <c r="A102" i="1" s="1"/>
  <c r="A103" i="1" s="1"/>
  <c r="A104" i="1" s="1"/>
  <c r="A105" i="1" s="1"/>
  <c r="A106" i="1" s="1"/>
  <c r="A107" i="1" s="1"/>
  <c r="A108" i="1" s="1"/>
  <c r="A109" i="1" s="1"/>
  <c r="A110" i="1" s="1"/>
  <c r="A111" i="1" s="1"/>
  <c r="C97" i="1"/>
  <c r="F97" i="1" s="1"/>
  <c r="C96" i="1"/>
  <c r="F96" i="1" s="1"/>
  <c r="C95" i="1"/>
  <c r="F95" i="1" s="1"/>
  <c r="A95" i="1"/>
  <c r="A96" i="1" s="1"/>
  <c r="A97" i="1" s="1"/>
  <c r="C94" i="1"/>
  <c r="F94" i="1" s="1"/>
  <c r="A94" i="1"/>
  <c r="F91" i="1"/>
  <c r="F90" i="1"/>
  <c r="F89" i="1"/>
  <c r="C88" i="1"/>
  <c r="F88" i="1" s="1"/>
  <c r="C87" i="1"/>
  <c r="F87" i="1" s="1"/>
  <c r="C86" i="1"/>
  <c r="F86" i="1" s="1"/>
  <c r="F85" i="1"/>
  <c r="C85" i="1"/>
  <c r="C222" i="1" s="1"/>
  <c r="F222" i="1" s="1"/>
  <c r="F84" i="1"/>
  <c r="C84" i="1"/>
  <c r="F83" i="1"/>
  <c r="C83" i="1"/>
  <c r="C82" i="1"/>
  <c r="F82" i="1" s="1"/>
  <c r="C81" i="1"/>
  <c r="C220" i="1" s="1"/>
  <c r="F220" i="1" s="1"/>
  <c r="C80" i="1"/>
  <c r="C218" i="1" s="1"/>
  <c r="F218" i="1" s="1"/>
  <c r="C79" i="1"/>
  <c r="F79" i="1" s="1"/>
  <c r="A79" i="1"/>
  <c r="A80" i="1" s="1"/>
  <c r="A81" i="1" s="1"/>
  <c r="A82" i="1" s="1"/>
  <c r="A83" i="1" s="1"/>
  <c r="A84" i="1" s="1"/>
  <c r="A85" i="1" s="1"/>
  <c r="A86" i="1" s="1"/>
  <c r="A87" i="1" s="1"/>
  <c r="A88" i="1" s="1"/>
  <c r="A89" i="1" s="1"/>
  <c r="A90" i="1" s="1"/>
  <c r="A91" i="1" s="1"/>
  <c r="F76" i="1"/>
  <c r="C76" i="1"/>
  <c r="F75" i="1"/>
  <c r="C75" i="1"/>
  <c r="C74" i="1"/>
  <c r="F74" i="1" s="1"/>
  <c r="C73" i="1"/>
  <c r="F73" i="1" s="1"/>
  <c r="F72" i="1"/>
  <c r="C72" i="1"/>
  <c r="C69" i="1"/>
  <c r="F69" i="1" s="1"/>
  <c r="C67" i="1"/>
  <c r="C68" i="1" s="1"/>
  <c r="F68" i="1" s="1"/>
  <c r="C66" i="1"/>
  <c r="F66" i="1" s="1"/>
  <c r="C65" i="1"/>
  <c r="F65" i="1" s="1"/>
  <c r="F64" i="1"/>
  <c r="C64" i="1"/>
  <c r="F63" i="1"/>
  <c r="C63" i="1"/>
  <c r="F62" i="1"/>
  <c r="C62" i="1"/>
  <c r="C61" i="1"/>
  <c r="F61" i="1" s="1"/>
  <c r="C60" i="1"/>
  <c r="F60" i="1" s="1"/>
  <c r="C59" i="1"/>
  <c r="F59" i="1" s="1"/>
  <c r="C58" i="1"/>
  <c r="F58" i="1" s="1"/>
  <c r="C57" i="1"/>
  <c r="F57" i="1" s="1"/>
  <c r="F56" i="1"/>
  <c r="C56" i="1"/>
  <c r="F55" i="1"/>
  <c r="C55" i="1"/>
  <c r="F54" i="1"/>
  <c r="C54" i="1"/>
  <c r="C53" i="1"/>
  <c r="F53" i="1" s="1"/>
  <c r="C52" i="1"/>
  <c r="F52" i="1" s="1"/>
  <c r="C51" i="1"/>
  <c r="F51" i="1" s="1"/>
  <c r="C50" i="1"/>
  <c r="F50" i="1" s="1"/>
  <c r="C49" i="1"/>
  <c r="F49" i="1" s="1"/>
  <c r="F48" i="1"/>
  <c r="C48" i="1"/>
  <c r="F47" i="1"/>
  <c r="C47" i="1"/>
  <c r="F46" i="1"/>
  <c r="C46" i="1"/>
  <c r="C45" i="1"/>
  <c r="F45" i="1" s="1"/>
  <c r="C44" i="1"/>
  <c r="F44" i="1" s="1"/>
  <c r="C43" i="1"/>
  <c r="F43" i="1" s="1"/>
  <c r="C42" i="1"/>
  <c r="F42" i="1" s="1"/>
  <c r="C41" i="1"/>
  <c r="F41" i="1" s="1"/>
  <c r="F40" i="1"/>
  <c r="C40" i="1"/>
  <c r="F39" i="1"/>
  <c r="C39" i="1"/>
  <c r="F38" i="1"/>
  <c r="C38" i="1"/>
  <c r="C37" i="1"/>
  <c r="F37" i="1" s="1"/>
  <c r="A37" i="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C36" i="1"/>
  <c r="F36" i="1" s="1"/>
  <c r="A36" i="1"/>
  <c r="C35" i="1"/>
  <c r="F35" i="1" s="1"/>
  <c r="A35" i="1"/>
  <c r="C34" i="1"/>
  <c r="F34" i="1" s="1"/>
  <c r="C31" i="1"/>
  <c r="F31" i="1" s="1"/>
  <c r="F30" i="1"/>
  <c r="C30" i="1"/>
  <c r="F29" i="1"/>
  <c r="C29" i="1"/>
  <c r="F28" i="1"/>
  <c r="C28" i="1"/>
  <c r="F27" i="1"/>
  <c r="F26" i="1"/>
  <c r="C26" i="1"/>
  <c r="F25" i="1"/>
  <c r="C25" i="1"/>
  <c r="C24" i="1"/>
  <c r="F24" i="1" s="1"/>
  <c r="C23" i="1"/>
  <c r="F23" i="1" s="1"/>
  <c r="C22" i="1"/>
  <c r="F22" i="1" s="1"/>
  <c r="C21" i="1"/>
  <c r="F21" i="1" s="1"/>
  <c r="C20" i="1"/>
  <c r="F20" i="1" s="1"/>
  <c r="F19" i="1"/>
  <c r="G32" i="1" s="1"/>
  <c r="C19" i="1"/>
  <c r="A19" i="1"/>
  <c r="A20" i="1" s="1"/>
  <c r="A21" i="1" s="1"/>
  <c r="A22" i="1" s="1"/>
  <c r="A23" i="1" s="1"/>
  <c r="A24" i="1" s="1"/>
  <c r="A25" i="1" s="1"/>
  <c r="A26" i="1" s="1"/>
  <c r="A27" i="1" s="1"/>
  <c r="A28" i="1" s="1"/>
  <c r="A29" i="1" s="1"/>
  <c r="A30" i="1" s="1"/>
  <c r="A31" i="1" s="1"/>
  <c r="F17" i="1"/>
  <c r="F16" i="1"/>
  <c r="C16" i="1"/>
  <c r="A16" i="1"/>
  <c r="A17" i="1" s="1"/>
  <c r="F15" i="1"/>
  <c r="A15" i="1"/>
  <c r="F14" i="1"/>
  <c r="G17" i="1" s="1"/>
  <c r="A14" i="1"/>
  <c r="G70" i="1" l="1"/>
  <c r="G134" i="1"/>
  <c r="G76" i="1"/>
  <c r="G112" i="1"/>
  <c r="G97" i="1"/>
  <c r="F81" i="1"/>
  <c r="C221" i="1"/>
  <c r="F221" i="1" s="1"/>
  <c r="G223" i="1" s="1"/>
  <c r="C219" i="1"/>
  <c r="F219" i="1" s="1"/>
  <c r="F67" i="1"/>
  <c r="F80" i="1"/>
  <c r="G91" i="1" s="1"/>
  <c r="G249" i="1" l="1"/>
  <c r="G252" i="1" l="1"/>
  <c r="J247" i="1"/>
  <c r="G259" i="1" l="1"/>
  <c r="G258" i="1"/>
  <c r="G265" i="1"/>
  <c r="G257" i="1"/>
  <c r="G264" i="1"/>
  <c r="G256" i="1"/>
  <c r="G263" i="1"/>
  <c r="G255" i="1"/>
  <c r="G262" i="1"/>
  <c r="G261" i="1"/>
  <c r="G260" i="1"/>
  <c r="G268" i="1" l="1"/>
  <c r="G270" i="1" s="1"/>
</calcChain>
</file>

<file path=xl/sharedStrings.xml><?xml version="1.0" encoding="utf-8"?>
<sst xmlns="http://schemas.openxmlformats.org/spreadsheetml/2006/main" count="470" uniqueCount="272">
  <si>
    <t xml:space="preserve">CONSTRUCCION </t>
  </si>
  <si>
    <t>COMEDOR ECONOMICO PUERTO PLATA</t>
  </si>
  <si>
    <t>PRESUPUESTO BASE GENERAL POR PARTIDAS</t>
  </si>
  <si>
    <t xml:space="preserve">CONSTRUCCION DEL COMEDOR ECONOMICO LA CHOCOLATERA, PUERTO PLATA </t>
  </si>
  <si>
    <t>Santo Domingo, D.N., Rep. Dominicana</t>
  </si>
  <si>
    <t>I.-</t>
  </si>
  <si>
    <t>COSTOS DIRECTOS</t>
  </si>
  <si>
    <t>NO</t>
  </si>
  <si>
    <t>PARTIDAS</t>
  </si>
  <si>
    <t>CANT.</t>
  </si>
  <si>
    <t>UNIDAD</t>
  </si>
  <si>
    <t>PU</t>
  </si>
  <si>
    <t>VALOR</t>
  </si>
  <si>
    <t>SUBTOTAL</t>
  </si>
  <si>
    <t>TRABAJOS PRELIMINARES</t>
  </si>
  <si>
    <t>Topografía General - Levantamiento planimétrico y altímetrico</t>
  </si>
  <si>
    <t>M2</t>
  </si>
  <si>
    <t>Charrancha y replanteo</t>
  </si>
  <si>
    <t xml:space="preserve">Fumigación general en fundaciones </t>
  </si>
  <si>
    <t>Letrero en obra - Valla Publicitaria</t>
  </si>
  <si>
    <t>PA</t>
  </si>
  <si>
    <t>MOVIMIENTOS DE TIERRA</t>
  </si>
  <si>
    <t>Desbroce, corte y bote capa vegetal e=0.30m</t>
  </si>
  <si>
    <t>Demolición de estructura existente.</t>
  </si>
  <si>
    <t>M3</t>
  </si>
  <si>
    <t>Corte de capa de escombros 0.30 mts.</t>
  </si>
  <si>
    <t xml:space="preserve">Nivelación de terreno </t>
  </si>
  <si>
    <t>Suministro, regado y compactado al 95% proctor modificado para fundaciones. Granzote 0.50 mts.</t>
  </si>
  <si>
    <t>M3C</t>
  </si>
  <si>
    <t>Excavación de zapatas Z-1, de 1.00 x 1.00 x 0.25 debajo nivel de platea</t>
  </si>
  <si>
    <t xml:space="preserve">Excavación muro exterior de terraza  a compresor </t>
  </si>
  <si>
    <t>Excavación muro calzada exterior frontal</t>
  </si>
  <si>
    <t xml:space="preserve">Excavaciones de fundaciones compresor 185 CFM  con dos pistolas </t>
  </si>
  <si>
    <t>Carga y bote de material sobrante excav.</t>
  </si>
  <si>
    <t>M3E</t>
  </si>
  <si>
    <t>Relleno de reposición en fundaciones</t>
  </si>
  <si>
    <t>Excavación zapatas muros exteriores de calzadas</t>
  </si>
  <si>
    <t>Excavación zapatas muros exteriores cierre de perímetro alamacén, parqueos y servicios</t>
  </si>
  <si>
    <t>M4</t>
  </si>
  <si>
    <t>HORMIGON ARMADO</t>
  </si>
  <si>
    <t>Homigón Armado en Platea de fundación de 0.30mts con F´c 240 kgrs/cm2, aceroØ1/2 @ 0.20 AD Superior e Inferior.</t>
  </si>
  <si>
    <t>M3.</t>
  </si>
  <si>
    <t>Homigón Armado en Vuelo de Platea de fundación de 0.40mts con F´c 240 kgrs/cm2, aceroØ1/2 @ 0.20 AD Superior e Inferior.</t>
  </si>
  <si>
    <t>Zapatas  de Columnas Z-1, 18 unidades de 1.00 x 1.00 x 0.25 y acero 5 Ø 1/2¨ AD.</t>
  </si>
  <si>
    <r>
      <t>Zapatas de Muros de block de 8</t>
    </r>
    <r>
      <rPr>
        <sz val="10"/>
        <color indexed="64"/>
        <rFont val="Calibri"/>
        <family val="2"/>
      </rPr>
      <t xml:space="preserve">" </t>
    </r>
    <r>
      <rPr>
        <sz val="10"/>
        <color indexed="64"/>
        <rFont val="Verdana"/>
        <family val="2"/>
      </rPr>
      <t xml:space="preserve">de bastones </t>
    </r>
    <r>
      <rPr>
        <sz val="10"/>
        <color indexed="64"/>
        <rFont val="Calibri"/>
        <family val="2"/>
      </rPr>
      <t>Ǿ</t>
    </r>
    <r>
      <rPr>
        <sz val="9"/>
        <color indexed="64"/>
        <rFont val="Verdana"/>
        <family val="2"/>
      </rPr>
      <t xml:space="preserve"> 3/8 @</t>
    </r>
    <r>
      <rPr>
        <sz val="10"/>
        <color indexed="64"/>
        <rFont val="Verdana"/>
        <family val="2"/>
      </rPr>
      <t xml:space="preserve"> 0.40 BNP</t>
    </r>
  </si>
  <si>
    <r>
      <t>Zapatas de Muros de block de 6</t>
    </r>
    <r>
      <rPr>
        <sz val="10"/>
        <color indexed="64"/>
        <rFont val="Calibri"/>
        <family val="2"/>
      </rPr>
      <t xml:space="preserve">" </t>
    </r>
    <r>
      <rPr>
        <sz val="10"/>
        <color indexed="64"/>
        <rFont val="Verdana"/>
        <family val="2"/>
      </rPr>
      <t xml:space="preserve"> bastones de </t>
    </r>
    <r>
      <rPr>
        <sz val="10"/>
        <color indexed="64"/>
        <rFont val="Calibri"/>
        <family val="2"/>
      </rPr>
      <t>Ǿ</t>
    </r>
    <r>
      <rPr>
        <sz val="9"/>
        <color indexed="64"/>
        <rFont val="Verdana"/>
        <family val="2"/>
      </rPr>
      <t xml:space="preserve"> 3/8 @</t>
    </r>
    <r>
      <rPr>
        <sz val="10"/>
        <color indexed="64"/>
        <rFont val="Verdana"/>
        <family val="2"/>
      </rPr>
      <t xml:space="preserve"> 0.60</t>
    </r>
  </si>
  <si>
    <r>
      <t xml:space="preserve">Zapatas de Columnas C-1, </t>
    </r>
    <r>
      <rPr>
        <sz val="10"/>
        <color indexed="64"/>
        <rFont val="Calibri"/>
        <family val="2"/>
      </rPr>
      <t>Ǿ</t>
    </r>
    <r>
      <rPr>
        <sz val="9"/>
        <color indexed="64"/>
        <rFont val="Verdana"/>
        <family val="2"/>
      </rPr>
      <t xml:space="preserve"> 1/2  a </t>
    </r>
    <r>
      <rPr>
        <sz val="10"/>
        <color indexed="64"/>
        <rFont val="Verdana"/>
        <family val="2"/>
      </rPr>
      <t>0.10 AD</t>
    </r>
  </si>
  <si>
    <t>Zapatas de muros areas exteriores de 6" de 0.50m x 0.25m</t>
  </si>
  <si>
    <r>
      <t xml:space="preserve">Columnas -C1 8 </t>
    </r>
    <r>
      <rPr>
        <sz val="10"/>
        <color indexed="64"/>
        <rFont val="Calibri"/>
        <family val="2"/>
      </rPr>
      <t>Ǿ1/2, ESTRIBOS 3/8 @0.20</t>
    </r>
  </si>
  <si>
    <r>
      <t xml:space="preserve">Columnas -C2 8 </t>
    </r>
    <r>
      <rPr>
        <sz val="10"/>
        <color indexed="64"/>
        <rFont val="Calibri"/>
        <family val="2"/>
      </rPr>
      <t>Ǿ1/2, ESTRIBOS 3/8 @0.20</t>
    </r>
  </si>
  <si>
    <r>
      <t xml:space="preserve">Columnas -C3 8 </t>
    </r>
    <r>
      <rPr>
        <sz val="10"/>
        <color indexed="64"/>
        <rFont val="Calibri"/>
        <family val="2"/>
      </rPr>
      <t>Ǿ1/2, ESTRIBOS 3/8 @0.20</t>
    </r>
  </si>
  <si>
    <r>
      <t>Columnas -C4 6</t>
    </r>
    <r>
      <rPr>
        <sz val="10"/>
        <color indexed="64"/>
        <rFont val="Calibri"/>
        <family val="2"/>
      </rPr>
      <t>Ǿ1/2, ESTRIBOS 3/8 @0.20</t>
    </r>
  </si>
  <si>
    <r>
      <t xml:space="preserve">Columnas -C5 4 </t>
    </r>
    <r>
      <rPr>
        <sz val="10"/>
        <color indexed="64"/>
        <rFont val="Calibri"/>
        <family val="2"/>
      </rPr>
      <t>Ǿ1/2, ESTRIBOS 3/8 @0.20</t>
    </r>
  </si>
  <si>
    <r>
      <t xml:space="preserve">Columnas Redonda -C- 6, 6 </t>
    </r>
    <r>
      <rPr>
        <sz val="10"/>
        <color indexed="64"/>
        <rFont val="Calibri"/>
        <family val="2"/>
      </rPr>
      <t>Ǿ1/2, ESTRIBOS 3/8 @0.20 diametro de 0.25 mts.</t>
    </r>
  </si>
  <si>
    <r>
      <t>Columnas Redonda -C- 7 8</t>
    </r>
    <r>
      <rPr>
        <sz val="10"/>
        <color indexed="64"/>
        <rFont val="Calibri"/>
        <family val="2"/>
      </rPr>
      <t>Ǿ1/2, ESTRIBOS 3/8 @0.20, diametro de 0.45 mts.</t>
    </r>
  </si>
  <si>
    <r>
      <t xml:space="preserve">Losa de techo L-1, e </t>
    </r>
    <r>
      <rPr>
        <sz val="10"/>
        <color indexed="64"/>
        <rFont val="Calibri"/>
        <family val="2"/>
      </rPr>
      <t>=</t>
    </r>
    <r>
      <rPr>
        <sz val="9"/>
        <color indexed="64"/>
        <rFont val="Verdana"/>
        <family val="2"/>
      </rPr>
      <t xml:space="preserve"> 0.12mts. Acero </t>
    </r>
    <r>
      <rPr>
        <sz val="10"/>
        <color rgb="FF000000"/>
        <rFont val="Verdana"/>
        <family val="2"/>
      </rPr>
      <t>Ø3/8 @0.20 AD</t>
    </r>
  </si>
  <si>
    <t xml:space="preserve">Losa de techo L-2, e = 0.12mts. Acero Ø3/8 @0.15  dirección corta y 0.20 dirección larga </t>
  </si>
  <si>
    <t xml:space="preserve">Losa de techo L-3, e = 0.12mts. Acero Ø3/8 @0.15  AD, </t>
  </si>
  <si>
    <t>Losa de techo L-4 y L -5, e = 0.12mts. Acero Ø3/8 @0.15  AD,  adicional a 0.25 mts.</t>
  </si>
  <si>
    <r>
      <t xml:space="preserve">Losa de techo L-6, e = 0.16mts. Acero Ø3/8 @0.20 en X y Ø1/2 @0.18 en  Y,  adicional </t>
    </r>
    <r>
      <rPr>
        <sz val="10"/>
        <color indexed="64"/>
        <rFont val="Calibri"/>
        <family val="2"/>
      </rPr>
      <t>Ø</t>
    </r>
    <r>
      <rPr>
        <sz val="9"/>
        <color indexed="64"/>
        <rFont val="Verdana"/>
        <family val="2"/>
      </rPr>
      <t>3/8</t>
    </r>
    <r>
      <rPr>
        <sz val="10"/>
        <color indexed="64"/>
        <rFont val="Verdana"/>
        <family val="2"/>
      </rPr>
      <t xml:space="preserve"> a 0.20 mts.</t>
    </r>
  </si>
  <si>
    <r>
      <t xml:space="preserve">Losa de techo L-7, e </t>
    </r>
    <r>
      <rPr>
        <sz val="10"/>
        <color indexed="64"/>
        <rFont val="Calibri"/>
        <family val="2"/>
      </rPr>
      <t>=</t>
    </r>
    <r>
      <rPr>
        <sz val="9"/>
        <color indexed="64"/>
        <rFont val="Verdana"/>
        <family val="2"/>
      </rPr>
      <t xml:space="preserve"> 0.12mts. Acero </t>
    </r>
    <r>
      <rPr>
        <sz val="10"/>
        <color rgb="FF000000"/>
        <rFont val="Verdana"/>
        <family val="2"/>
      </rPr>
      <t>Ø3/8 @0.20 AD</t>
    </r>
  </si>
  <si>
    <t xml:space="preserve">Losa de techo L-8, e = 0.12mts. Acero Ø3/8 @0.15  dirección corta y 0.20 dirección larga </t>
  </si>
  <si>
    <t xml:space="preserve">Losa de techo L-9, e = 0.12mts. Acero Ø3/8 @0.15  dirección corta y 0.20 dirección larga </t>
  </si>
  <si>
    <t>Losa de techo L-10, l -11, L-12, y L -13, e = 0.12mts. Acero Ø3/8 @0.15  AD,  adicional a 0.25 mts.</t>
  </si>
  <si>
    <t>Losa de techo L-14  Acero Ø3/8 @0.15  AD,  adicional a 0.25 mts.</t>
  </si>
  <si>
    <t>Vigas V-1</t>
  </si>
  <si>
    <t>Vigas V-2</t>
  </si>
  <si>
    <t>Vigas V-3</t>
  </si>
  <si>
    <t>Vigas V-4</t>
  </si>
  <si>
    <t>Vigas de Amarres VA</t>
  </si>
  <si>
    <t>Dinteles DC</t>
  </si>
  <si>
    <t>Dinteles DL</t>
  </si>
  <si>
    <t xml:space="preserve">Suministro e intalación de tijerillas de techo </t>
  </si>
  <si>
    <t xml:space="preserve">Suministro e intalación cubierta de techo en Aluzin  con aislante </t>
  </si>
  <si>
    <t>Suministro y colocación de caballete</t>
  </si>
  <si>
    <t>PL</t>
  </si>
  <si>
    <t>Suministro y colocación de canaleta</t>
  </si>
  <si>
    <t>Suministro y colocación de cubrefalta tipo flashing</t>
  </si>
  <si>
    <t>MAMPOSTERIA</t>
  </si>
  <si>
    <r>
      <t>Muros de block de 8</t>
    </r>
    <r>
      <rPr>
        <sz val="10"/>
        <color indexed="64"/>
        <rFont val="Calibri"/>
        <family val="2"/>
      </rPr>
      <t>" bastones Ǿ</t>
    </r>
    <r>
      <rPr>
        <sz val="10"/>
        <color indexed="64"/>
        <rFont val="Verdana"/>
        <family val="2"/>
      </rPr>
      <t xml:space="preserve"> 3/8 @ 0.60, </t>
    </r>
  </si>
  <si>
    <r>
      <t>Muros de block de 6</t>
    </r>
    <r>
      <rPr>
        <sz val="10"/>
        <color indexed="64"/>
        <rFont val="Calibri"/>
        <family val="2"/>
      </rPr>
      <t xml:space="preserve"> bastones Ǿ</t>
    </r>
    <r>
      <rPr>
        <sz val="10"/>
        <color indexed="64"/>
        <rFont val="Verdana"/>
        <family val="2"/>
      </rPr>
      <t xml:space="preserve"> 3/8 @ 0.60, </t>
    </r>
  </si>
  <si>
    <r>
      <t>Muros de block de 6</t>
    </r>
    <r>
      <rPr>
        <sz val="10"/>
        <color indexed="64"/>
        <rFont val="Calibri"/>
        <family val="2"/>
      </rPr>
      <t xml:space="preserve"> bastones Ǿ</t>
    </r>
    <r>
      <rPr>
        <sz val="10"/>
        <color indexed="64"/>
        <rFont val="Verdana"/>
        <family val="2"/>
      </rPr>
      <t xml:space="preserve"> 3/8 @ 0.60, muro de terraza exterior</t>
    </r>
  </si>
  <si>
    <r>
      <t>Muros de block de 6</t>
    </r>
    <r>
      <rPr>
        <sz val="10"/>
        <color indexed="64"/>
        <rFont val="Calibri"/>
        <family val="2"/>
      </rPr>
      <t xml:space="preserve"> bastones Ǿ</t>
    </r>
    <r>
      <rPr>
        <sz val="10"/>
        <color indexed="64"/>
        <rFont val="Verdana"/>
        <family val="2"/>
      </rPr>
      <t xml:space="preserve"> 3/8 @ 0.60, muro area exterior frontal  </t>
    </r>
  </si>
  <si>
    <r>
      <t>Muros de block de 6</t>
    </r>
    <r>
      <rPr>
        <sz val="10"/>
        <color indexed="64"/>
        <rFont val="Calibri"/>
        <family val="2"/>
      </rPr>
      <t xml:space="preserve"> bastones Ǿ</t>
    </r>
    <r>
      <rPr>
        <sz val="10"/>
        <color indexed="64"/>
        <rFont val="Verdana"/>
        <family val="2"/>
      </rPr>
      <t xml:space="preserve"> 3/8 @ 0.60, Almacen, parqueos y servicios</t>
    </r>
  </si>
  <si>
    <t>TERMINACIONES DE SUPERFICIE</t>
  </si>
  <si>
    <t>Fraguache en elementos H.A.</t>
  </si>
  <si>
    <t>Empañete de mezcla maestreado en paredes exteriores</t>
  </si>
  <si>
    <t>Empañete de mezcla maestreado en paredes Interiores</t>
  </si>
  <si>
    <t>Empañete de mezcla maestreado en techos</t>
  </si>
  <si>
    <t>Empañete de mezcla maestreado en vigas y columnas estructurales</t>
  </si>
  <si>
    <t xml:space="preserve">Empañete de mezcla maestreado en DINTELES </t>
  </si>
  <si>
    <t xml:space="preserve">Empañete de mezcla maestreado en Muros exteriores, Almacen, Parqueos y servicios </t>
  </si>
  <si>
    <t>Cantos en Vuelo</t>
  </si>
  <si>
    <t>ML</t>
  </si>
  <si>
    <t>Cantos y mochetas</t>
  </si>
  <si>
    <t>Fino de techo</t>
  </si>
  <si>
    <t xml:space="preserve">Zabaletas </t>
  </si>
  <si>
    <t>Desague de Techo</t>
  </si>
  <si>
    <t>UD</t>
  </si>
  <si>
    <t>Gotero colgante</t>
  </si>
  <si>
    <t xml:space="preserve">REVESTIMIENTOS </t>
  </si>
  <si>
    <t xml:space="preserve">Cerámica en paredes baños Comensales </t>
  </si>
  <si>
    <t>Ceramica en paredes baños Empleados y casa de guardia</t>
  </si>
  <si>
    <t xml:space="preserve">Ceramica en paredes Area de lavado </t>
  </si>
  <si>
    <t>Cerámicas en paredes Area de Cocina</t>
  </si>
  <si>
    <t>PISOS</t>
  </si>
  <si>
    <t>Piso en comedor PORCELANATO PIASENTINA GRIS  50 X 50. area de comensales</t>
  </si>
  <si>
    <t xml:space="preserve">Zocalos area de comensales </t>
  </si>
  <si>
    <r>
      <t>Piso en cocina QUARRY TILE ROJO 15 X 15 .</t>
    </r>
    <r>
      <rPr>
        <b/>
        <sz val="14"/>
        <color theme="1"/>
        <rFont val="Comic Sans MS"/>
        <family val="4"/>
      </rPr>
      <t/>
    </r>
  </si>
  <si>
    <t>Zocalos. Cocina</t>
  </si>
  <si>
    <t xml:space="preserve">Revestimiento de baños </t>
  </si>
  <si>
    <r>
      <t>Piso en Oficinas en Casa Guardia, Deposito y Tikes.</t>
    </r>
    <r>
      <rPr>
        <b/>
        <sz val="14"/>
        <color theme="1"/>
        <rFont val="Comic Sans MS"/>
        <family val="4"/>
      </rPr>
      <t/>
    </r>
  </si>
  <si>
    <r>
      <t>Piso pulido en almacen</t>
    </r>
    <r>
      <rPr>
        <b/>
        <sz val="14"/>
        <color theme="1"/>
        <rFont val="Comic Sans MS"/>
        <family val="4"/>
      </rPr>
      <t/>
    </r>
  </si>
  <si>
    <r>
      <t>Piso frotado area lavado.</t>
    </r>
    <r>
      <rPr>
        <b/>
        <sz val="14"/>
        <color theme="1"/>
        <rFont val="Comic Sans MS"/>
        <family val="4"/>
      </rPr>
      <t/>
    </r>
  </si>
  <si>
    <t>Pisos Baños</t>
  </si>
  <si>
    <t xml:space="preserve">Piso entrada principal </t>
  </si>
  <si>
    <t xml:space="preserve">Zocalos </t>
  </si>
  <si>
    <t xml:space="preserve">Piso terraza Exterior </t>
  </si>
  <si>
    <t>PUERTAS</t>
  </si>
  <si>
    <t xml:space="preserve">Puerta entrada principal comercial negro anonizado dos puestas con llavin, con transon </t>
  </si>
  <si>
    <t>UND</t>
  </si>
  <si>
    <t xml:space="preserve">Puerta tipo comercial cristal bronce anocizado una hoja con llavin entrada exterior 1.20 x 2.10 </t>
  </si>
  <si>
    <t>Puerta tipo comercial cristal bronce anocizado una hoja con llavin area de tickes 0.80 x 2.10</t>
  </si>
  <si>
    <t xml:space="preserve">Puertas interiores en polimetálica con llavín  de 0.80 x 2.10 </t>
  </si>
  <si>
    <t>Puertas interiores en polimetálica con llavín  de 0.9 x  2.10</t>
  </si>
  <si>
    <t>Puertas interiores en polimetálica con llavín  de 1.00 x  2.10</t>
  </si>
  <si>
    <t>Puertas interiores en polimetálica con llavín  de 1.20 x  2.12</t>
  </si>
  <si>
    <t>Puerta enrollable entrada almacen 2.30 x 2.50</t>
  </si>
  <si>
    <t xml:space="preserve">Puerta entrada baños en cristal pivotante, con fors isntalado y cierre </t>
  </si>
  <si>
    <t>Puerta doble batiente en enreada area empleados  de 0.90 x 1.85</t>
  </si>
  <si>
    <t xml:space="preserve">Divisiones interiores de baños </t>
  </si>
  <si>
    <t>Varanda Terraza exterior, x 1.00 de alto vidrio templado y acero inoxidable</t>
  </si>
  <si>
    <t>VENTANAS</t>
  </si>
  <si>
    <t>Ventanas corredizas bronce anonizado de 1.2 x 1.70, 17 UD</t>
  </si>
  <si>
    <t>Pies 2</t>
  </si>
  <si>
    <t>Ventanas corredizas bronce anonizado de 1.45 x 1.70, 1 UD</t>
  </si>
  <si>
    <t>Ventanas corredizas bronce anonizado de 2.50 x 1.70</t>
  </si>
  <si>
    <t xml:space="preserve">Ventanas corredizas bronce anonizado de1.20 x 0.70 en baños </t>
  </si>
  <si>
    <t>Cristal frontal Tikect. 1.20 x 1.70</t>
  </si>
  <si>
    <t>COCINA</t>
  </si>
  <si>
    <t xml:space="preserve">Suminsitro Estufa de tipo Hornillones en Acero Inoxidable 304,  Ver detalles en las especificaciones </t>
  </si>
  <si>
    <t>Marmitas de Gas, Ver detalles de equipo en Especificaciones Tecnicas</t>
  </si>
  <si>
    <t>Volteable, Ver detalles de equipo en Especificaciones Técnicas</t>
  </si>
  <si>
    <t>Campana en acero inoxidable Tipo Short 96 x 42 x 24 con sistema de extraccion completo Luces, Fintros Porta Grasa y Ducteria con filtro en acero inoxidable, recolector de grasa, sistema de iluminación antigrasa 110V</t>
  </si>
  <si>
    <t>Suministro y Fabricación de Mesa en Acero Inoxidable con Fregadero Inclustado.</t>
  </si>
  <si>
    <t>Suministro y Fabricación de Mesa en Acero Inoxidable sin Respaldo y Sin entrepaños.</t>
  </si>
  <si>
    <t xml:space="preserve">Suministro y Fabricación de Exibidor de 4 Bandejas en Acero Inoxidable. Tipo 304 y vidrio antiestornudo, inclye iluminacion </t>
  </si>
  <si>
    <t xml:space="preserve">Freezer Armario de congelación de acero inoxidable,  Medidas 1385x700x2060 mm, Potencia 1110 w, Tensión 220 v, Capacidad 1110 litros, Construido en acero inoxidable, Iluminación led, Parrillas regulables, 
Patas de acero inoxidable regulables en altura, Desagüe interior, Puertas con contrapuerta embutida y tirador integrado, Sistema de condensación ventilada           </t>
  </si>
  <si>
    <t>Nevera de cuatro  puertas acero inoxidable,  Armario refrigerado de 4 puertas. Capacidad interior 1109 litros. Dimensiones 1388 x 726 x 2067mm. Estantes en varilla de acero plastificado regulables en altura. Temperatura de trabajo: -2 ºC, +8 ºC, ambiente de 38 ºC. Refrigeración por tiro forzado. Refrigerante ecológico R-134a. Control digital. Luz interior. Interruptor de encendido.</t>
  </si>
  <si>
    <t>Fregadero Inclinado de Granito para Ollas</t>
  </si>
  <si>
    <t>P2</t>
  </si>
  <si>
    <r>
      <t>Suministro y Fabricación de Mesa en Acero Inoxidable 2 x 4 pies,</t>
    </r>
    <r>
      <rPr>
        <sz val="14"/>
        <color theme="1"/>
        <rFont val="Comic Sans MS"/>
        <family val="4"/>
      </rPr>
      <t xml:space="preserve">.  </t>
    </r>
  </si>
  <si>
    <t xml:space="preserve">Suminsitro e instalaciond e rejillas de acero inoxidable de piso </t>
  </si>
  <si>
    <t>ESCALERA</t>
  </si>
  <si>
    <t xml:space="preserve">Huellas y contrahuellas en Granito vaciado </t>
  </si>
  <si>
    <t>Descansos en Porcelanato  0.50m x 0.50m anti-manchas</t>
  </si>
  <si>
    <t>INSTALACIONES SANITARIAS</t>
  </si>
  <si>
    <r>
      <t>Inodoro Alargado Blanco, incluye suministro, piezas e instalación.</t>
    </r>
    <r>
      <rPr>
        <b/>
        <sz val="14"/>
        <color theme="1"/>
        <rFont val="Comic Sans MS"/>
        <family val="4"/>
      </rPr>
      <t/>
    </r>
  </si>
  <si>
    <t xml:space="preserve">Lavamanos blanco, incluye piezas accesorios e intalación, sobre tope de granito </t>
  </si>
  <si>
    <t xml:space="preserve">Lavamanos blaco, de pedestal </t>
  </si>
  <si>
    <t xml:space="preserve">Orinal 1/2 falfa blanco </t>
  </si>
  <si>
    <r>
      <t>Ducha de agua fria, suministro, piezas e instalación.</t>
    </r>
    <r>
      <rPr>
        <b/>
        <sz val="14"/>
        <color theme="1"/>
        <rFont val="Comic Sans MS"/>
        <family val="4"/>
      </rPr>
      <t/>
    </r>
  </si>
  <si>
    <r>
      <t>Desague de piso  de 2" instalado.</t>
    </r>
    <r>
      <rPr>
        <b/>
        <sz val="14"/>
        <color theme="1"/>
        <rFont val="Comic Sans MS"/>
        <family val="4"/>
      </rPr>
      <t/>
    </r>
  </si>
  <si>
    <t>Espejos biselados area de baños comensales 2.25 x 1.00 y 1.83 x 1.00</t>
  </si>
  <si>
    <t>PIES 2</t>
  </si>
  <si>
    <t xml:space="preserve">Espejos baño empleado y vigilate </t>
  </si>
  <si>
    <t xml:space="preserve">Dispensador de  jabon de manos </t>
  </si>
  <si>
    <t xml:space="preserve">Dispensador de papel </t>
  </si>
  <si>
    <t xml:space="preserve">Zafacon de pie para los  baños camensales de 20 galones acero inoxidables </t>
  </si>
  <si>
    <t xml:space="preserve">Zafacones de baño para inodoros de 3 galones acero inoxidable </t>
  </si>
  <si>
    <r>
      <t>Trampas de grasa 1 x 1 x 1,</t>
    </r>
    <r>
      <rPr>
        <b/>
        <sz val="14"/>
        <color theme="1"/>
        <rFont val="Comic Sans MS"/>
        <family val="4"/>
      </rPr>
      <t/>
    </r>
  </si>
  <si>
    <t xml:space="preserve">Registro sanitarios </t>
  </si>
  <si>
    <t>Cámara séptica  1.70 x 3.40 x 1.60</t>
  </si>
  <si>
    <t>Fragadero Exterior doble engranito vaciado</t>
  </si>
  <si>
    <t>Caseta de Bomba</t>
  </si>
  <si>
    <t>Cisterna 6,000 Gls. En roca, 3.00X4.00X2.30 Mts</t>
  </si>
  <si>
    <t>Bomba Mayer 1.5HP</t>
  </si>
  <si>
    <t>Tinacos 500Gls</t>
  </si>
  <si>
    <t>Canalización de agua en cocina incluye regilla de piso frontal estufas en acero inoxidable.</t>
  </si>
  <si>
    <r>
      <t>Registros sanitarios 0.60 x 06.0.</t>
    </r>
    <r>
      <rPr>
        <b/>
        <sz val="14"/>
        <color theme="1"/>
        <rFont val="Comic Sans MS"/>
        <family val="4"/>
      </rPr>
      <t/>
    </r>
  </si>
  <si>
    <t>Meseta de lavamanos  incluye revestimiento en Granito  negro en baño comensales.</t>
  </si>
  <si>
    <t>Pozo Filtrante para depósito de aguas residuales.</t>
  </si>
  <si>
    <t xml:space="preserve">Excavaciones Sanitarias </t>
  </si>
  <si>
    <t>Tuberías de arrastre AN</t>
  </si>
  <si>
    <t>Tuberías alimentacion agua potable</t>
  </si>
  <si>
    <t>Bajantes 3" sanitarios</t>
  </si>
  <si>
    <t>Bajantes 4" pluviales</t>
  </si>
  <si>
    <t>INSTALACIONES ELECTRICAS</t>
  </si>
  <si>
    <t xml:space="preserve">Luces cenitales en EMT de techo en Salon de Comedor </t>
  </si>
  <si>
    <t>Salida Luz Cenital</t>
  </si>
  <si>
    <t xml:space="preserve">Salida TC  110 V  Doble </t>
  </si>
  <si>
    <t xml:space="preserve">Salida TC  220 V, sencillo </t>
  </si>
  <si>
    <t>Salida Interptores Sencillo</t>
  </si>
  <si>
    <t>Salida Interptores Doble</t>
  </si>
  <si>
    <t>Salida Interptores Triple</t>
  </si>
  <si>
    <t xml:space="preserve">Salidas  Abanicos  de techo </t>
  </si>
  <si>
    <t>Salida A/A</t>
  </si>
  <si>
    <r>
      <t>Salida Letrero.</t>
    </r>
    <r>
      <rPr>
        <b/>
        <sz val="14"/>
        <color theme="1"/>
        <rFont val="Comic Sans MS"/>
        <family val="4"/>
      </rPr>
      <t/>
    </r>
  </si>
  <si>
    <t>Salida Bomba de agua</t>
  </si>
  <si>
    <t>Salida conexión Campanas Cocina 220V</t>
  </si>
  <si>
    <t>Salida Telefonos</t>
  </si>
  <si>
    <t>Registro Telefonos</t>
  </si>
  <si>
    <t>Registro Cable TV</t>
  </si>
  <si>
    <t>Suministro e instalación Luminarias de techo Restaurant Luces Led 18W</t>
  </si>
  <si>
    <t xml:space="preserve">Suministro e instalación Luces Exteriores </t>
  </si>
  <si>
    <t>Abanicos de techo 52 pulgadas</t>
  </si>
  <si>
    <t xml:space="preserve">Suministro e instalación calentados de agua </t>
  </si>
  <si>
    <t>Suminsitro e instalación Bomba de agua 1.5 HP</t>
  </si>
  <si>
    <r>
      <t>Cortina de aire de 4 pies en area de linea entre comedor y cocina. Incluye instalacion ysoporte.</t>
    </r>
    <r>
      <rPr>
        <b/>
        <sz val="14"/>
        <color theme="1"/>
        <rFont val="Comic Sans MS"/>
        <family val="4"/>
      </rPr>
      <t/>
    </r>
  </si>
  <si>
    <t>Suministro e instlación A/A Split Inverter 18BTU</t>
  </si>
  <si>
    <t>Paneles de breakers 48  circuitos</t>
  </si>
  <si>
    <t>Alimentación princiapal desde la caja de breaker hasta conexion CDEEE</t>
  </si>
  <si>
    <t>Excavaciones eléctricas</t>
  </si>
  <si>
    <t>Tuberías y alimentaciones eléctricas</t>
  </si>
  <si>
    <t>Panel de contadores</t>
  </si>
  <si>
    <t>Transformador Pad Mounted 225KVA</t>
  </si>
  <si>
    <t xml:space="preserve">Acometida  Primaria 3H desde poste hasta transfer soterrada  </t>
  </si>
  <si>
    <t xml:space="preserve">PINTURA </t>
  </si>
  <si>
    <t>Pintura Primer interior y exterior</t>
  </si>
  <si>
    <t xml:space="preserve">Pintura Acrilica exterior pared, Colores identificacion comedores Económico </t>
  </si>
  <si>
    <t xml:space="preserve">Pintura Acrilica interior </t>
  </si>
  <si>
    <t>Pintura Acrilica techos</t>
  </si>
  <si>
    <t>Pintura area Exteriores</t>
  </si>
  <si>
    <t>MISCELANEOS</t>
  </si>
  <si>
    <t>Tarja en Bronce, incluye muro base</t>
  </si>
  <si>
    <t>P.A</t>
  </si>
  <si>
    <t>Letrero acrílico</t>
  </si>
  <si>
    <t xml:space="preserve">Trameria en metal en Almacen.. </t>
  </si>
  <si>
    <t>Asta de bandera en tubos en acero ioxidable  20 pie de altura ( incluye base Horm.),.</t>
  </si>
  <si>
    <t>Piso en hormigón semi- pulido en parqueos espesor 15 cms. Con malla electrosoldada</t>
  </si>
  <si>
    <t>Pintura parqueos tipo II</t>
  </si>
  <si>
    <t>Paragomas en concreto</t>
  </si>
  <si>
    <t>Plazoleta en asta de bamderas,</t>
  </si>
  <si>
    <t>Planta Electrica de 20 KVA, generacion a Gas, instalación accesorios, y grua.</t>
  </si>
  <si>
    <t>Sum. e Inst. de Escritorio 24*48 D/3 Gabetas Metalico</t>
  </si>
  <si>
    <t>Sum. e Inst. de Archivo de 3 Gabetas Metalico</t>
  </si>
  <si>
    <t xml:space="preserve">Sillas de Oficina </t>
  </si>
  <si>
    <t xml:space="preserve">Mesas Comedor tipo maleta </t>
  </si>
  <si>
    <t xml:space="preserve">Sillas comedor Plegable </t>
  </si>
  <si>
    <t>Mesa para  printer en oficina,</t>
  </si>
  <si>
    <t xml:space="preserve">Suminietro e instalacion de repisa para area de tickect, </t>
  </si>
  <si>
    <t>Suministro  de archivo de tres gabertas para area de ticket.</t>
  </si>
  <si>
    <t>Suministro de silla alta para area de ticke.</t>
  </si>
  <si>
    <t>Suministro e instalación de Bebederos uno en cocina y  otro en restaurante.</t>
  </si>
  <si>
    <t>Extintor contra incendio de espuma especial  para uso en cocinas  . Ref. ORFEO-E-6-ESPUMA F-RI, 
-Extintor de presión permanente, -Capacidad: 6 litros.
-Agente impulsor: Nitrógeno, -Agente extintor: Agua+AFFF
-Eficacia: 75 F, -Recipiente: Aluminio,  -Peso cargado: 8.50
-Temperatura de servicio: +5ºC / + 60ºC</t>
  </si>
  <si>
    <t xml:space="preserve">Jardineria Exterior </t>
  </si>
  <si>
    <t>Limpieza continua y final</t>
  </si>
  <si>
    <t xml:space="preserve">Dias </t>
  </si>
  <si>
    <t>Barandas en en terraza en acero inoxidable y vidrio templado, altura 1.10mts.</t>
  </si>
  <si>
    <t xml:space="preserve">SUB-TOTAL </t>
  </si>
  <si>
    <t>TOTAL COSTOS DIRECTOS</t>
  </si>
  <si>
    <t>II.-</t>
  </si>
  <si>
    <t>COSTOS INDIRECTOS</t>
  </si>
  <si>
    <t>Dirección técnica y responsabilidad</t>
  </si>
  <si>
    <t>%</t>
  </si>
  <si>
    <t>Gastos administrativos</t>
  </si>
  <si>
    <t>Transporte</t>
  </si>
  <si>
    <t>Seguros y Fianzas</t>
  </si>
  <si>
    <t>Fondo de Pensión y Jubilación</t>
  </si>
  <si>
    <t>Diseños y aprobaciones</t>
  </si>
  <si>
    <t>Personal Fijo en Obra</t>
  </si>
  <si>
    <t>Codia 1%</t>
  </si>
  <si>
    <t xml:space="preserve">Imprevistos </t>
  </si>
  <si>
    <t xml:space="preserve">Supervisión de Obra </t>
  </si>
  <si>
    <t>Eleboracion Planos As-Built</t>
  </si>
  <si>
    <t>TOTAL COSTOS INDIRECTOS</t>
  </si>
  <si>
    <t xml:space="preserve">TOTAL GENERAL </t>
  </si>
  <si>
    <t>TOTAL COSTO POR M2 CON EQUIPAMEINTO</t>
  </si>
  <si>
    <t>COSTO / M2</t>
  </si>
  <si>
    <t>Elaborado por:</t>
  </si>
  <si>
    <t>Aprobado Por:</t>
  </si>
  <si>
    <t>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</si>
</sst>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D$-1C0A]#,##0.00"/>
    <numFmt numFmtId="165" formatCode="&quot;RD$&quot;#,##0.00"/>
    <numFmt numFmtId="166" formatCode="_-* #,##0.00\ _€_-;\-* #,##0.00\ _€_-;_-* &quot;-&quot;??\ _€_-;_-@_-"/>
  </numFmts>
  <fonts count="28" x14ac:knownFonts="1">
    <font>
      <sz val="11"/>
      <color theme="1"/>
      <name val="Calibri"/>
      <family val="2"/>
      <scheme val="minor"/>
    </font>
    <font>
      <b/>
      <sz val="13"/>
      <color indexed="56"/>
      <name val="Verdana"/>
      <family val="2"/>
    </font>
    <font>
      <sz val="10"/>
      <color indexed="64"/>
      <name val="Verdana"/>
      <family val="2"/>
    </font>
    <font>
      <b/>
      <sz val="13"/>
      <color indexed="64"/>
      <name val="Verdana"/>
      <family val="2"/>
    </font>
    <font>
      <b/>
      <sz val="10"/>
      <color indexed="64"/>
      <name val="Verdana"/>
      <family val="2"/>
    </font>
    <font>
      <b/>
      <sz val="10"/>
      <name val="Verdana"/>
      <family val="2"/>
    </font>
    <font>
      <b/>
      <sz val="11"/>
      <color indexed="56"/>
      <name val="Verdana"/>
      <family val="2"/>
    </font>
    <font>
      <sz val="10"/>
      <name val="Verdana"/>
      <family val="2"/>
    </font>
    <font>
      <sz val="10"/>
      <color indexed="64"/>
      <name val="Calibri"/>
      <family val="2"/>
    </font>
    <font>
      <sz val="9"/>
      <color indexed="64"/>
      <name val="Verdana"/>
      <family val="2"/>
    </font>
    <font>
      <sz val="10"/>
      <color rgb="FF000000"/>
      <name val="Verdana"/>
      <family val="2"/>
    </font>
    <font>
      <b/>
      <sz val="14"/>
      <color theme="1"/>
      <name val="Comic Sans MS"/>
      <family val="4"/>
    </font>
    <font>
      <sz val="14"/>
      <color theme="1"/>
      <name val="Comic Sans MS"/>
      <family val="4"/>
    </font>
    <font>
      <b/>
      <sz val="10"/>
      <color rgb="FFFF0000"/>
      <name val="Verdana"/>
      <family val="2"/>
    </font>
    <font>
      <sz val="10"/>
      <color rgb="FFFF0000"/>
      <name val="Verdana"/>
      <family val="2"/>
    </font>
    <font>
      <b/>
      <sz val="10"/>
      <color indexed="10"/>
      <name val="Verdana"/>
      <family val="2"/>
    </font>
    <font>
      <sz val="10"/>
      <color indexed="10"/>
      <name val="Verdana"/>
      <family val="2"/>
    </font>
    <font>
      <sz val="10"/>
      <color indexed="30"/>
      <name val="Verdana"/>
      <family val="2"/>
    </font>
    <font>
      <sz val="10"/>
      <color indexed="64"/>
      <name val="Tahoma"/>
      <family val="2"/>
    </font>
    <font>
      <b/>
      <sz val="11"/>
      <color indexed="10"/>
      <name val="Verdana"/>
      <family val="2"/>
    </font>
    <font>
      <b/>
      <sz val="9"/>
      <color indexed="10"/>
      <name val="Verdana"/>
      <family val="2"/>
    </font>
    <font>
      <sz val="10"/>
      <name val="MS Sans Serif"/>
      <family val="2"/>
    </font>
    <font>
      <b/>
      <i/>
      <sz val="12"/>
      <color theme="1"/>
      <name val="Times New Roman"/>
      <family val="1"/>
    </font>
    <font>
      <sz val="12"/>
      <color theme="1"/>
      <name val="Times New Roman"/>
      <family val="1"/>
    </font>
    <font>
      <sz val="12"/>
      <color theme="1"/>
      <name val="Calibri"/>
      <family val="2"/>
      <scheme val="minor"/>
    </font>
    <font>
      <sz val="12"/>
      <color theme="1"/>
      <name val="Comic Sans MS"/>
      <family val="4"/>
    </font>
    <font>
      <sz val="12"/>
      <name val="MS Sans Serif"/>
      <family val="2"/>
    </font>
    <font>
      <sz val="12"/>
      <color indexed="64"/>
      <name val="Verdana"/>
      <family val="2"/>
    </font>
  </fonts>
  <fills count="3">
    <fill>
      <patternFill patternType="none"/>
    </fill>
    <fill>
      <patternFill patternType="gray125"/>
    </fill>
    <fill>
      <patternFill patternType="solid">
        <fgColor indexed="22"/>
      </patternFill>
    </fill>
  </fills>
  <borders count="29">
    <border>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3">
    <xf numFmtId="0" fontId="0" fillId="0" borderId="0"/>
    <xf numFmtId="0" fontId="21" fillId="0" borderId="0"/>
    <xf numFmtId="0" fontId="21" fillId="0" borderId="0"/>
  </cellStyleXfs>
  <cellXfs count="152">
    <xf numFmtId="0" fontId="0" fillId="0" borderId="0" xfId="0"/>
    <xf numFmtId="18" fontId="1" fillId="0" borderId="0" xfId="0" applyNumberFormat="1" applyFont="1" applyAlignment="1">
      <alignment horizontal="center"/>
    </xf>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6" fillId="0" borderId="1" xfId="0" applyFont="1" applyBorder="1" applyAlignment="1">
      <alignment horizontal="right"/>
    </xf>
    <xf numFmtId="0" fontId="6" fillId="0" borderId="1" xfId="0" applyFont="1" applyBorder="1"/>
    <xf numFmtId="0" fontId="2"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2" fontId="5" fillId="0" borderId="8" xfId="0" applyNumberFormat="1"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164" fontId="5" fillId="0" borderId="11" xfId="0" applyNumberFormat="1" applyFont="1" applyBorder="1" applyAlignment="1">
      <alignment horizontal="center" vertical="center"/>
    </xf>
    <xf numFmtId="0" fontId="7" fillId="0" borderId="0" xfId="0" applyFont="1"/>
    <xf numFmtId="2" fontId="7" fillId="0" borderId="8" xfId="0" applyNumberFormat="1" applyFont="1" applyBorder="1" applyAlignment="1">
      <alignment vertical="center"/>
    </xf>
    <xf numFmtId="0" fontId="7" fillId="0" borderId="9" xfId="0" applyFont="1" applyBorder="1" applyAlignment="1">
      <alignment vertical="center" wrapText="1"/>
    </xf>
    <xf numFmtId="4" fontId="7" fillId="0" borderId="9" xfId="0" applyNumberFormat="1" applyFont="1" applyBorder="1" applyAlignment="1">
      <alignment horizontal="center" vertical="center"/>
    </xf>
    <xf numFmtId="0" fontId="7" fillId="0" borderId="9" xfId="0" applyFont="1" applyBorder="1" applyAlignment="1">
      <alignment horizontal="center" vertical="center"/>
    </xf>
    <xf numFmtId="164" fontId="7" fillId="0" borderId="9"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0" borderId="13" xfId="0" applyNumberFormat="1" applyFont="1" applyBorder="1" applyAlignment="1">
      <alignment horizontal="center" vertical="center"/>
    </xf>
    <xf numFmtId="2" fontId="4" fillId="0" borderId="14" xfId="0" applyNumberFormat="1" applyFont="1" applyBorder="1" applyAlignment="1">
      <alignment vertical="center"/>
    </xf>
    <xf numFmtId="0" fontId="4" fillId="0" borderId="15" xfId="0" applyFont="1" applyBorder="1" applyAlignment="1">
      <alignment vertical="center"/>
    </xf>
    <xf numFmtId="4" fontId="2" fillId="0" borderId="0" xfId="0" applyNumberFormat="1" applyFont="1" applyAlignment="1">
      <alignment horizontal="center"/>
    </xf>
    <xf numFmtId="164" fontId="2" fillId="0" borderId="0" xfId="0" applyNumberFormat="1" applyFont="1" applyAlignment="1">
      <alignment horizontal="center"/>
    </xf>
    <xf numFmtId="164" fontId="4" fillId="0" borderId="11" xfId="0" applyNumberFormat="1" applyFont="1" applyBorder="1" applyAlignment="1">
      <alignment horizontal="center"/>
    </xf>
    <xf numFmtId="2" fontId="2" fillId="0" borderId="8" xfId="0" applyNumberFormat="1" applyFont="1" applyBorder="1" applyAlignment="1">
      <alignment vertical="center"/>
    </xf>
    <xf numFmtId="0" fontId="2" fillId="0" borderId="9" xfId="0" applyFont="1" applyBorder="1" applyAlignment="1">
      <alignment vertical="center"/>
    </xf>
    <xf numFmtId="4"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vertical="center" wrapText="1"/>
    </xf>
    <xf numFmtId="0" fontId="7" fillId="0" borderId="9" xfId="0" applyFont="1" applyBorder="1" applyAlignment="1">
      <alignment vertical="justify"/>
    </xf>
    <xf numFmtId="4" fontId="7" fillId="0" borderId="9" xfId="0" applyNumberFormat="1" applyFont="1" applyBorder="1" applyAlignment="1">
      <alignment horizontal="center"/>
    </xf>
    <xf numFmtId="0" fontId="7" fillId="0" borderId="9" xfId="0" applyFont="1" applyBorder="1" applyAlignment="1">
      <alignment horizontal="center"/>
    </xf>
    <xf numFmtId="164" fontId="7" fillId="0" borderId="9" xfId="0" applyNumberFormat="1" applyFont="1" applyBorder="1" applyAlignment="1">
      <alignment horizontal="center"/>
    </xf>
    <xf numFmtId="0" fontId="2" fillId="0" borderId="9" xfId="0" applyFont="1" applyBorder="1" applyAlignment="1">
      <alignment vertical="justify"/>
    </xf>
    <xf numFmtId="4" fontId="2" fillId="0" borderId="9" xfId="0" applyNumberFormat="1" applyFont="1" applyBorder="1" applyAlignment="1">
      <alignment horizontal="center"/>
    </xf>
    <xf numFmtId="164" fontId="2" fillId="0" borderId="9" xfId="0" applyNumberFormat="1" applyFont="1" applyBorder="1" applyAlignment="1">
      <alignment horizontal="center"/>
    </xf>
    <xf numFmtId="0" fontId="2" fillId="0" borderId="9" xfId="0" applyFont="1" applyBorder="1" applyAlignment="1">
      <alignment horizontal="center"/>
    </xf>
    <xf numFmtId="164" fontId="4" fillId="0" borderId="13" xfId="0" applyNumberFormat="1" applyFont="1" applyBorder="1" applyAlignment="1">
      <alignment horizontal="center"/>
    </xf>
    <xf numFmtId="4" fontId="2" fillId="0" borderId="10" xfId="0" applyNumberFormat="1" applyFont="1" applyBorder="1" applyAlignment="1">
      <alignment horizontal="center"/>
    </xf>
    <xf numFmtId="2" fontId="5" fillId="0" borderId="8" xfId="0" applyNumberFormat="1" applyFont="1" applyBorder="1"/>
    <xf numFmtId="0" fontId="5" fillId="0" borderId="10" xfId="0" applyFont="1" applyBorder="1"/>
    <xf numFmtId="0" fontId="7" fillId="0" borderId="0" xfId="0" applyFont="1" applyAlignment="1">
      <alignment horizontal="center"/>
    </xf>
    <xf numFmtId="164" fontId="7" fillId="0" borderId="0" xfId="0" applyNumberFormat="1" applyFont="1" applyAlignment="1">
      <alignment horizontal="center"/>
    </xf>
    <xf numFmtId="164" fontId="5" fillId="0" borderId="11" xfId="0" applyNumberFormat="1" applyFont="1" applyBorder="1" applyAlignment="1">
      <alignment horizontal="center"/>
    </xf>
    <xf numFmtId="2" fontId="7" fillId="0" borderId="8" xfId="0" applyNumberFormat="1" applyFont="1" applyBorder="1" applyAlignment="1">
      <alignment vertical="top"/>
    </xf>
    <xf numFmtId="0" fontId="7" fillId="0" borderId="9" xfId="0" applyFont="1" applyBorder="1" applyAlignment="1">
      <alignment vertical="center"/>
    </xf>
    <xf numFmtId="164" fontId="4" fillId="0" borderId="12" xfId="0" applyNumberFormat="1" applyFont="1" applyBorder="1" applyAlignment="1">
      <alignment horizontal="center"/>
    </xf>
    <xf numFmtId="2" fontId="7" fillId="0" borderId="16" xfId="0" applyNumberFormat="1" applyFont="1" applyBorder="1" applyAlignment="1">
      <alignment vertical="top"/>
    </xf>
    <xf numFmtId="0" fontId="7" fillId="0" borderId="0" xfId="0" applyFont="1" applyAlignment="1">
      <alignment vertical="justify"/>
    </xf>
    <xf numFmtId="4" fontId="7" fillId="0" borderId="0" xfId="0" applyNumberFormat="1" applyFont="1" applyAlignment="1">
      <alignment horizontal="center"/>
    </xf>
    <xf numFmtId="0" fontId="5" fillId="0" borderId="9" xfId="0" applyFont="1" applyBorder="1"/>
    <xf numFmtId="0" fontId="4" fillId="0" borderId="11" xfId="0" applyFont="1" applyBorder="1" applyAlignment="1">
      <alignment horizontal="center"/>
    </xf>
    <xf numFmtId="2" fontId="2" fillId="0" borderId="16" xfId="0" applyNumberFormat="1" applyFont="1" applyBorder="1" applyAlignment="1">
      <alignment vertical="top"/>
    </xf>
    <xf numFmtId="2" fontId="7" fillId="0" borderId="8" xfId="0" applyNumberFormat="1" applyFont="1" applyBorder="1"/>
    <xf numFmtId="4" fontId="2" fillId="0" borderId="13" xfId="0" applyNumberFormat="1" applyFont="1" applyBorder="1" applyAlignment="1">
      <alignment horizontal="center"/>
    </xf>
    <xf numFmtId="0" fontId="7" fillId="0" borderId="0" xfId="0" applyFont="1" applyAlignment="1">
      <alignment vertical="center"/>
    </xf>
    <xf numFmtId="2" fontId="2" fillId="0" borderId="8" xfId="0" applyNumberFormat="1" applyFont="1" applyBorder="1"/>
    <xf numFmtId="0" fontId="2" fillId="0" borderId="13" xfId="0" applyFont="1" applyBorder="1" applyAlignment="1">
      <alignment vertical="justify"/>
    </xf>
    <xf numFmtId="164" fontId="5" fillId="0" borderId="13" xfId="0" applyNumberFormat="1" applyFont="1" applyBorder="1" applyAlignment="1">
      <alignment horizontal="center"/>
    </xf>
    <xf numFmtId="2" fontId="2" fillId="0" borderId="16" xfId="0" applyNumberFormat="1" applyFont="1" applyBorder="1" applyAlignment="1">
      <alignment vertical="center"/>
    </xf>
    <xf numFmtId="0" fontId="7" fillId="0" borderId="13" xfId="0" applyFont="1" applyBorder="1" applyAlignment="1">
      <alignment vertical="justify"/>
    </xf>
    <xf numFmtId="0" fontId="7" fillId="0" borderId="17" xfId="0" applyFont="1" applyBorder="1" applyAlignment="1">
      <alignment vertical="justify"/>
    </xf>
    <xf numFmtId="0" fontId="7" fillId="0" borderId="9" xfId="0" applyFont="1" applyBorder="1" applyAlignment="1">
      <alignment horizontal="left" vertical="center" wrapText="1"/>
    </xf>
    <xf numFmtId="164" fontId="5" fillId="0" borderId="13" xfId="0" applyNumberFormat="1" applyFont="1" applyBorder="1" applyAlignment="1">
      <alignment vertical="justify"/>
    </xf>
    <xf numFmtId="0" fontId="4" fillId="0" borderId="15" xfId="0" applyFont="1" applyBorder="1"/>
    <xf numFmtId="4" fontId="13" fillId="0" borderId="0" xfId="0" applyNumberFormat="1" applyFont="1"/>
    <xf numFmtId="0" fontId="2" fillId="0" borderId="0" xfId="0" applyFont="1" applyAlignment="1">
      <alignment vertical="justify"/>
    </xf>
    <xf numFmtId="0" fontId="2" fillId="0" borderId="18" xfId="0" applyFont="1" applyBorder="1"/>
    <xf numFmtId="0" fontId="4" fillId="0" borderId="19" xfId="0" applyFont="1" applyBorder="1"/>
    <xf numFmtId="0" fontId="13" fillId="0" borderId="19" xfId="0" applyFont="1" applyBorder="1"/>
    <xf numFmtId="0" fontId="14" fillId="0" borderId="19" xfId="0" applyFont="1" applyBorder="1" applyAlignment="1">
      <alignment horizontal="center"/>
    </xf>
    <xf numFmtId="164" fontId="14" fillId="0" borderId="19" xfId="0" applyNumberFormat="1" applyFont="1" applyBorder="1" applyAlignment="1">
      <alignment horizontal="center"/>
    </xf>
    <xf numFmtId="165" fontId="13" fillId="0" borderId="20" xfId="0" applyNumberFormat="1" applyFont="1" applyBorder="1" applyAlignment="1">
      <alignment horizontal="center"/>
    </xf>
    <xf numFmtId="0" fontId="2" fillId="0" borderId="16" xfId="0" applyFont="1" applyBorder="1"/>
    <xf numFmtId="0" fontId="4" fillId="0" borderId="0" xfId="0" applyFont="1"/>
    <xf numFmtId="0" fontId="15" fillId="0" borderId="0" xfId="0" applyFont="1" applyAlignment="1">
      <alignment horizontal="left"/>
    </xf>
    <xf numFmtId="0" fontId="16" fillId="0" borderId="0" xfId="0" applyFont="1" applyAlignment="1">
      <alignment horizontal="center"/>
    </xf>
    <xf numFmtId="164" fontId="16" fillId="0" borderId="0" xfId="0" applyNumberFormat="1" applyFont="1" applyAlignment="1">
      <alignment horizontal="center"/>
    </xf>
    <xf numFmtId="164" fontId="15" fillId="0" borderId="11" xfId="0" applyNumberFormat="1" applyFont="1" applyBorder="1" applyAlignment="1">
      <alignment horizontal="center"/>
    </xf>
    <xf numFmtId="0" fontId="15" fillId="0" borderId="19" xfId="0" applyFont="1" applyBorder="1" applyAlignment="1">
      <alignment horizontal="left"/>
    </xf>
    <xf numFmtId="0" fontId="16" fillId="0" borderId="19" xfId="0" applyFont="1" applyBorder="1" applyAlignment="1">
      <alignment horizontal="center"/>
    </xf>
    <xf numFmtId="164" fontId="16" fillId="0" borderId="19" xfId="0" applyNumberFormat="1" applyFont="1" applyBorder="1" applyAlignment="1">
      <alignment horizontal="center"/>
    </xf>
    <xf numFmtId="164" fontId="15" fillId="0" borderId="20" xfId="0" applyNumberFormat="1" applyFont="1" applyBorder="1" applyAlignment="1">
      <alignment horizontal="center"/>
    </xf>
    <xf numFmtId="0" fontId="17" fillId="0" borderId="0" xfId="0" applyFont="1" applyAlignment="1">
      <alignment horizontal="center"/>
    </xf>
    <xf numFmtId="164" fontId="17" fillId="0" borderId="0" xfId="0" applyNumberFormat="1" applyFont="1" applyAlignment="1">
      <alignment horizontal="center"/>
    </xf>
    <xf numFmtId="0" fontId="6" fillId="0" borderId="21" xfId="0" applyFont="1" applyBorder="1" applyAlignment="1">
      <alignment horizontal="right"/>
    </xf>
    <xf numFmtId="0" fontId="6" fillId="0" borderId="22" xfId="0" applyFont="1" applyBorder="1"/>
    <xf numFmtId="0" fontId="2" fillId="0" borderId="22" xfId="0" applyFont="1" applyBorder="1" applyAlignment="1">
      <alignment horizontal="center"/>
    </xf>
    <xf numFmtId="0" fontId="17" fillId="0" borderId="22" xfId="0" applyFont="1" applyBorder="1" applyAlignment="1">
      <alignment horizontal="center"/>
    </xf>
    <xf numFmtId="164" fontId="17" fillId="0" borderId="22" xfId="0" applyNumberFormat="1" applyFont="1" applyBorder="1" applyAlignment="1">
      <alignment horizontal="center"/>
    </xf>
    <xf numFmtId="164" fontId="2" fillId="0" borderId="22" xfId="0" applyNumberFormat="1" applyFont="1" applyBorder="1" applyAlignment="1">
      <alignment horizontal="center"/>
    </xf>
    <xf numFmtId="164" fontId="18" fillId="0" borderId="23" xfId="0" applyNumberFormat="1" applyFont="1" applyBorder="1" applyAlignment="1">
      <alignment horizontal="center"/>
    </xf>
    <xf numFmtId="0" fontId="2" fillId="0" borderId="9" xfId="0" applyFont="1" applyBorder="1"/>
    <xf numFmtId="2" fontId="2" fillId="0" borderId="9" xfId="0" applyNumberFormat="1" applyFont="1" applyBorder="1" applyAlignment="1">
      <alignment horizontal="center"/>
    </xf>
    <xf numFmtId="164" fontId="17" fillId="0" borderId="9" xfId="0" applyNumberFormat="1" applyFont="1" applyBorder="1" applyAlignment="1">
      <alignment horizontal="center"/>
    </xf>
    <xf numFmtId="164" fontId="18" fillId="0" borderId="13" xfId="0" applyNumberFormat="1" applyFont="1" applyBorder="1" applyAlignment="1">
      <alignment horizontal="center"/>
    </xf>
    <xf numFmtId="4" fontId="2" fillId="0" borderId="0" xfId="0" applyNumberFormat="1" applyFont="1"/>
    <xf numFmtId="2" fontId="2" fillId="0" borderId="8" xfId="0" applyNumberFormat="1" applyFont="1" applyBorder="1" applyAlignment="1">
      <alignment horizontal="right"/>
    </xf>
    <xf numFmtId="0" fontId="17" fillId="0" borderId="16" xfId="0" applyFont="1" applyBorder="1"/>
    <xf numFmtId="0" fontId="17" fillId="0" borderId="0" xfId="0" applyFont="1"/>
    <xf numFmtId="0" fontId="17" fillId="0" borderId="18" xfId="0" applyFont="1" applyBorder="1"/>
    <xf numFmtId="0" fontId="17" fillId="2" borderId="18" xfId="0" applyFont="1" applyFill="1" applyBorder="1"/>
    <xf numFmtId="0" fontId="19" fillId="2" borderId="19" xfId="0" applyFont="1" applyFill="1" applyBorder="1"/>
    <xf numFmtId="164" fontId="16" fillId="2" borderId="19" xfId="0" applyNumberFormat="1" applyFont="1" applyFill="1" applyBorder="1" applyAlignment="1">
      <alignment horizontal="center"/>
    </xf>
    <xf numFmtId="164" fontId="15" fillId="2" borderId="20" xfId="0" applyNumberFormat="1" applyFont="1" applyFill="1" applyBorder="1" applyAlignment="1">
      <alignment horizontal="center"/>
    </xf>
    <xf numFmtId="0" fontId="17" fillId="0" borderId="5" xfId="0" applyFont="1" applyBorder="1"/>
    <xf numFmtId="0" fontId="2" fillId="0" borderId="6" xfId="0" applyFont="1" applyBorder="1"/>
    <xf numFmtId="0" fontId="2" fillId="0" borderId="6" xfId="0" applyFont="1" applyBorder="1" applyAlignment="1">
      <alignment horizontal="center"/>
    </xf>
    <xf numFmtId="164" fontId="2" fillId="0" borderId="6" xfId="0" applyNumberFormat="1" applyFont="1" applyBorder="1" applyAlignment="1">
      <alignment horizontal="center"/>
    </xf>
    <xf numFmtId="0" fontId="20" fillId="2" borderId="19" xfId="0" applyFont="1" applyFill="1" applyBorder="1" applyAlignment="1">
      <alignment horizontal="center"/>
    </xf>
    <xf numFmtId="4" fontId="19" fillId="2" borderId="19" xfId="0" applyNumberFormat="1" applyFont="1" applyFill="1" applyBorder="1"/>
    <xf numFmtId="0" fontId="17" fillId="0" borderId="24" xfId="0" applyFont="1" applyBorder="1"/>
    <xf numFmtId="0" fontId="4" fillId="0" borderId="25" xfId="0" applyFont="1" applyBorder="1" applyAlignment="1">
      <alignment horizontal="center"/>
    </xf>
    <xf numFmtId="0" fontId="17" fillId="0" borderId="26" xfId="0" applyFont="1" applyBorder="1"/>
    <xf numFmtId="0" fontId="4" fillId="0" borderId="0" xfId="0" applyFont="1" applyAlignment="1">
      <alignment horizontal="left" vertical="justify"/>
    </xf>
    <xf numFmtId="0" fontId="4" fillId="0" borderId="27" xfId="0" applyFont="1" applyBorder="1" applyAlignment="1">
      <alignment horizontal="center"/>
    </xf>
    <xf numFmtId="0" fontId="17" fillId="0" borderId="27" xfId="0" applyFont="1" applyBorder="1" applyAlignment="1">
      <alignment horizontal="left" vertical="justify"/>
    </xf>
    <xf numFmtId="0" fontId="17" fillId="0" borderId="10" xfId="0" applyFont="1" applyBorder="1"/>
    <xf numFmtId="0" fontId="22" fillId="0" borderId="0" xfId="1" applyFont="1"/>
    <xf numFmtId="0" fontId="23" fillId="0" borderId="0" xfId="1" applyFont="1"/>
    <xf numFmtId="0" fontId="23" fillId="0" borderId="0" xfId="2" applyFont="1"/>
    <xf numFmtId="0" fontId="24" fillId="0" borderId="0" xfId="0" applyFont="1"/>
    <xf numFmtId="0" fontId="2" fillId="0" borderId="28" xfId="0" applyFont="1" applyBorder="1"/>
    <xf numFmtId="166" fontId="23" fillId="0" borderId="0" xfId="1" applyNumberFormat="1" applyFont="1"/>
    <xf numFmtId="0" fontId="23" fillId="0" borderId="22" xfId="1" applyFont="1" applyBorder="1"/>
    <xf numFmtId="0" fontId="23" fillId="0" borderId="0" xfId="1" applyFont="1" applyAlignment="1">
      <alignment horizontal="center"/>
    </xf>
    <xf numFmtId="0" fontId="23" fillId="0" borderId="0" xfId="1" applyFont="1" applyAlignment="1">
      <alignment horizontal="left"/>
    </xf>
    <xf numFmtId="0" fontId="22" fillId="0" borderId="0" xfId="1" applyFont="1" applyAlignment="1">
      <alignment horizontal="right"/>
    </xf>
    <xf numFmtId="0" fontId="25" fillId="0" borderId="0" xfId="1" applyFont="1"/>
    <xf numFmtId="0" fontId="26" fillId="0" borderId="0" xfId="2" applyFont="1"/>
    <xf numFmtId="0" fontId="24" fillId="0" borderId="0" xfId="0" applyFont="1" applyAlignment="1">
      <alignment horizontal="center"/>
    </xf>
    <xf numFmtId="0" fontId="25" fillId="0" borderId="0" xfId="1" applyFont="1" applyAlignment="1">
      <alignment horizontal="center"/>
    </xf>
    <xf numFmtId="0" fontId="27" fillId="0" borderId="0" xfId="0" applyFont="1" applyAlignment="1">
      <alignment wrapText="1"/>
    </xf>
    <xf numFmtId="0" fontId="27" fillId="0" borderId="0" xfId="0" applyFont="1"/>
    <xf numFmtId="164" fontId="4" fillId="0" borderId="0" xfId="0" applyNumberFormat="1" applyFont="1" applyAlignment="1">
      <alignment horizontal="center"/>
    </xf>
    <xf numFmtId="0" fontId="4" fillId="0" borderId="0" xfId="0" applyFont="1" applyAlignment="1">
      <alignment horizontal="center"/>
    </xf>
  </cellXfs>
  <cellStyles count="3">
    <cellStyle name="Normal" xfId="0" builtinId="0"/>
    <cellStyle name="Normal 2 2" xfId="2"/>
    <cellStyle name="Normal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16933</xdr:colOff>
      <xdr:row>1</xdr:row>
      <xdr:rowOff>110067</xdr:rowOff>
    </xdr:from>
    <xdr:to>
      <xdr:col>1</xdr:col>
      <xdr:colOff>1138975</xdr:colOff>
      <xdr:row>8</xdr:row>
      <xdr:rowOff>42334</xdr:rowOff>
    </xdr:to>
    <xdr:pic>
      <xdr:nvPicPr>
        <xdr:cNvPr id="2" name="Imagen 1" descr="12.png">
          <a:extLst>
            <a:ext uri="{FF2B5EF4-FFF2-40B4-BE49-F238E27FC236}">
              <a16:creationId xmlns:a16="http://schemas.microsoft.com/office/drawing/2014/main" id="{DC499D35-81CB-42FF-9B25-C6F29E43FB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33" y="270087"/>
          <a:ext cx="1693542" cy="1166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rive\SERVICIOS%20GENERALES\Proyectos%20de%20Construccion\LISTOS\productores\READY\0-%203RA,%20ENTREGA%20DE%20PROYECTOS\89.-%20LA%20CHOCOLATERA%20PUERTO%20PLATA\PRESUPUESTO%20COMEDOR%20PUERTO%20PL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wnload\presupuesto%20%20%20grupo%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ROYECTO%20CONSTRUCCION%20DELFA\2014%2005May%2003%20txt%2014va%20Edic(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PROYECTOS%20%20DELFA\EDIFICIO%205%20NIVELES%20ING.%20ANGEL%20ROSARIO\Borrador%20de%20Presupues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EXCEL\FOLLETOS\2012\2012%20Nueva%20Edi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ERTO PLATA"/>
      <sheetName val="VOLUMETRIA"/>
      <sheetName val="VOLUMETRIA LICITACION "/>
      <sheetName val="Hoja3"/>
      <sheetName val="Hoja1"/>
      <sheetName val="Sheet1"/>
    </sheetNames>
    <sheetDataSet>
      <sheetData sheetId="0">
        <row r="252">
          <cell r="G252">
            <v>24971516.174878564</v>
          </cell>
        </row>
      </sheetData>
      <sheetData sheetId="1">
        <row r="4">
          <cell r="F4">
            <v>956.9742</v>
          </cell>
        </row>
        <row r="6">
          <cell r="G6">
            <v>16.087199999999999</v>
          </cell>
        </row>
        <row r="8">
          <cell r="G8">
            <v>191.39484000000002</v>
          </cell>
        </row>
        <row r="9">
          <cell r="G9">
            <v>478.4871</v>
          </cell>
        </row>
        <row r="11">
          <cell r="H11">
            <v>175.59666300000001</v>
          </cell>
        </row>
        <row r="36">
          <cell r="I36">
            <v>4.3227000000000002</v>
          </cell>
        </row>
        <row r="47">
          <cell r="I47">
            <v>23.006700000000002</v>
          </cell>
        </row>
        <row r="61">
          <cell r="I61">
            <v>24.534000000000002</v>
          </cell>
        </row>
        <row r="64">
          <cell r="I64">
            <v>20.622000000000011</v>
          </cell>
        </row>
        <row r="74">
          <cell r="J74">
            <v>4.1159999999999988</v>
          </cell>
        </row>
        <row r="75">
          <cell r="J75">
            <v>3.1859999999999995</v>
          </cell>
        </row>
        <row r="81">
          <cell r="J81">
            <v>0.83200000000000007</v>
          </cell>
        </row>
        <row r="82">
          <cell r="J82">
            <v>0.74880000000000013</v>
          </cell>
        </row>
        <row r="83">
          <cell r="J83">
            <v>2.9952000000000005</v>
          </cell>
        </row>
        <row r="84">
          <cell r="J84">
            <v>0.24960000000000002</v>
          </cell>
        </row>
        <row r="85">
          <cell r="J85">
            <v>3.3696000000000006</v>
          </cell>
        </row>
        <row r="86">
          <cell r="J86">
            <v>0.40840799999999999</v>
          </cell>
        </row>
        <row r="87">
          <cell r="J87">
            <v>1.3232419200000001</v>
          </cell>
        </row>
        <row r="109">
          <cell r="I109">
            <v>2.1613500000000001</v>
          </cell>
        </row>
        <row r="120">
          <cell r="I120">
            <v>11.503350000000001</v>
          </cell>
        </row>
        <row r="134">
          <cell r="I134">
            <v>9.2002500000000005</v>
          </cell>
        </row>
        <row r="173">
          <cell r="I173">
            <v>468.23700000000002</v>
          </cell>
        </row>
        <row r="179">
          <cell r="I179">
            <v>66.959999999999994</v>
          </cell>
        </row>
        <row r="186">
          <cell r="I186">
            <v>18.489999999999998</v>
          </cell>
        </row>
        <row r="197">
          <cell r="I197">
            <v>51.126000000000005</v>
          </cell>
        </row>
        <row r="210">
          <cell r="I210">
            <v>136.29999999999998</v>
          </cell>
        </row>
        <row r="231">
          <cell r="I231">
            <v>36.979999999999997</v>
          </cell>
        </row>
        <row r="242">
          <cell r="I242">
            <v>51.126000000000005</v>
          </cell>
        </row>
        <row r="255">
          <cell r="I255">
            <v>272.59999999999997</v>
          </cell>
        </row>
        <row r="257">
          <cell r="B257">
            <v>171.85000000000008</v>
          </cell>
        </row>
        <row r="267">
          <cell r="F267">
            <v>266.74950000000001</v>
          </cell>
        </row>
        <row r="289">
          <cell r="I289">
            <v>267.42450000000002</v>
          </cell>
        </row>
        <row r="291">
          <cell r="E291">
            <v>59.224000000000004</v>
          </cell>
        </row>
        <row r="305">
          <cell r="F305">
            <v>108.71999999999998</v>
          </cell>
        </row>
        <row r="393">
          <cell r="I393">
            <v>391.3</v>
          </cell>
        </row>
        <row r="412">
          <cell r="I412">
            <v>8.6</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ocolatera"/>
      <sheetName val="tabara arriba"/>
      <sheetName val="el rosario"/>
      <sheetName val="pueblo viejo azua"/>
      <sheetName val=" LOS FRAILES "/>
      <sheetName val="los rios"/>
      <sheetName val="salinas"/>
      <sheetName val="santiago oeste"/>
      <sheetName val="bani"/>
      <sheetName val=" SABANA DE LA MAR"/>
      <sheetName val="fund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Herram"/>
      <sheetName val="Rndmto"/>
      <sheetName val="MOCuadrillas"/>
      <sheetName val="MOJornal"/>
      <sheetName val="Ana"/>
      <sheetName val="Indice"/>
      <sheetName val="Hoja1"/>
    </sheetNames>
    <sheetDataSet>
      <sheetData sheetId="0" refreshError="1"/>
      <sheetData sheetId="1" refreshError="1">
        <row r="1">
          <cell r="F1" t="str">
            <v>GUIA DE ANALISIS DE COSTOS EDIFICACIONES EN SANTO DOMINGO, REP. DOM.</v>
          </cell>
        </row>
        <row r="434">
          <cell r="E434">
            <v>248.1</v>
          </cell>
        </row>
      </sheetData>
      <sheetData sheetId="2" refreshError="1">
        <row r="26">
          <cell r="E26">
            <v>133421.38</v>
          </cell>
        </row>
        <row r="152">
          <cell r="E152">
            <v>133512.93</v>
          </cell>
        </row>
      </sheetData>
      <sheetData sheetId="3" refreshError="1"/>
      <sheetData sheetId="4" refreshError="1"/>
      <sheetData sheetId="5" refreshError="1"/>
      <sheetData sheetId="6" refreshError="1">
        <row r="452">
          <cell r="M452">
            <v>2003.66</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sheetName val="Catalogo de Conceptos"/>
      <sheetName val="Presupuesto"/>
      <sheetName val="Memoria de Calculo BNP"/>
      <sheetName val="Memoria de Calculo 1er Nivel"/>
      <sheetName val="Memoria de Calculo 2do Nivel"/>
      <sheetName val="Memoria de Calculo 3er Nivel"/>
      <sheetName val="Analisis"/>
      <sheetName val="INSUMOS"/>
      <sheetName val="Ins"/>
      <sheetName val="Indice"/>
      <sheetName val="Volumenes"/>
      <sheetName val="MOJornal"/>
      <sheetName val="Rndmto"/>
      <sheetName val="MOCuadrillas"/>
      <sheetName val="Hoja1"/>
      <sheetName val="Hoja2"/>
    </sheetNames>
    <sheetDataSet>
      <sheetData sheetId="0"/>
      <sheetData sheetId="1"/>
      <sheetData sheetId="2"/>
      <sheetData sheetId="3"/>
      <sheetData sheetId="4"/>
      <sheetData sheetId="5"/>
      <sheetData sheetId="6"/>
      <sheetData sheetId="7"/>
      <sheetData sheetId="8"/>
      <sheetData sheetId="9">
        <row r="434">
          <cell r="E434">
            <v>248.1</v>
          </cell>
        </row>
      </sheetData>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Equi"/>
      <sheetName val="Herram"/>
      <sheetName val="Rndmto"/>
      <sheetName val="MOCuadrillas"/>
      <sheetName val="MOJornal"/>
      <sheetName val="AnaEdif"/>
      <sheetName val="Indice"/>
      <sheetName val="Presup"/>
      <sheetName val="FA INS"/>
      <sheetName val="FA HERR"/>
      <sheetName val="AnaVIAL NoOk"/>
      <sheetName val="DatosPROY"/>
      <sheetName val="Cotiz OTROS"/>
      <sheetName val="AnaPRE"/>
      <sheetName val="Ana EMERG JPP"/>
      <sheetName val="Presup EMERG JPP"/>
      <sheetName val="PLOM"/>
      <sheetName val="MOPlom"/>
      <sheetName val="AnaCONTRA"/>
      <sheetName val="Cortes"/>
      <sheetName val="PreOsvaldo"/>
      <sheetName val="Simo3"/>
    </sheetNames>
    <sheetDataSet>
      <sheetData sheetId="0"/>
      <sheetData sheetId="1"/>
      <sheetData sheetId="2"/>
      <sheetData sheetId="3"/>
      <sheetData sheetId="4"/>
      <sheetData sheetId="5"/>
      <sheetData sheetId="6">
        <row r="7">
          <cell r="A7" t="str">
            <v>MANO DE OBRA JORNALES DIARIO (Sin ITBIS)</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04"/>
  <sheetViews>
    <sheetView tabSelected="1" view="pageBreakPreview" zoomScale="90" zoomScaleNormal="100" zoomScaleSheetLayoutView="90" workbookViewId="0">
      <selection activeCell="L272" sqref="L272"/>
    </sheetView>
  </sheetViews>
  <sheetFormatPr baseColWidth="10" defaultColWidth="9.109375" defaultRowHeight="12.6" x14ac:dyDescent="0.2"/>
  <cols>
    <col min="1" max="1" width="8.33203125" style="3" customWidth="1"/>
    <col min="2" max="2" width="46.44140625" style="3" customWidth="1"/>
    <col min="3" max="3" width="12.44140625" style="8" customWidth="1"/>
    <col min="4" max="4" width="9.33203125" style="8" customWidth="1"/>
    <col min="5" max="5" width="18.5546875" style="8" customWidth="1"/>
    <col min="6" max="6" width="19.5546875" style="8" customWidth="1"/>
    <col min="7" max="7" width="22.33203125" style="151" customWidth="1"/>
    <col min="8" max="8" width="9.109375" style="3"/>
    <col min="9" max="9" width="11" style="3" bestFit="1" customWidth="1"/>
    <col min="10" max="10" width="14" style="3" customWidth="1"/>
    <col min="11" max="24" width="9.109375" style="3"/>
    <col min="25" max="27" width="11" style="3" customWidth="1"/>
    <col min="28" max="86" width="9.109375" style="3"/>
    <col min="87" max="89" width="11" style="3" customWidth="1"/>
    <col min="90" max="16384" width="9.109375" style="3"/>
  </cols>
  <sheetData>
    <row r="2" spans="1:7" ht="15.75" customHeight="1" x14ac:dyDescent="0.25">
      <c r="A2" s="1" t="s">
        <v>0</v>
      </c>
      <c r="B2" s="2"/>
      <c r="C2" s="2"/>
      <c r="D2" s="2"/>
      <c r="E2" s="2"/>
      <c r="F2" s="2"/>
      <c r="G2" s="2"/>
    </row>
    <row r="3" spans="1:7" ht="15.75" customHeight="1" x14ac:dyDescent="0.25">
      <c r="A3" s="4" t="s">
        <v>1</v>
      </c>
      <c r="B3" s="4"/>
      <c r="C3" s="4"/>
      <c r="D3" s="4"/>
      <c r="E3" s="4"/>
      <c r="F3" s="4"/>
      <c r="G3" s="4"/>
    </row>
    <row r="4" spans="1:7" ht="5.25" customHeight="1" x14ac:dyDescent="0.2">
      <c r="A4" s="5"/>
      <c r="B4" s="5"/>
      <c r="C4" s="5"/>
      <c r="D4" s="5"/>
      <c r="E4" s="5"/>
      <c r="F4" s="5"/>
      <c r="G4" s="5"/>
    </row>
    <row r="5" spans="1:7" ht="18" customHeight="1" x14ac:dyDescent="0.2">
      <c r="A5" s="5" t="s">
        <v>2</v>
      </c>
      <c r="B5" s="5"/>
      <c r="C5" s="5"/>
      <c r="D5" s="5"/>
      <c r="E5" s="5"/>
      <c r="F5" s="5"/>
      <c r="G5" s="5"/>
    </row>
    <row r="6" spans="1:7" ht="18" customHeight="1" x14ac:dyDescent="0.2">
      <c r="A6" s="6" t="s">
        <v>3</v>
      </c>
      <c r="B6" s="6"/>
      <c r="C6" s="6"/>
      <c r="D6" s="6"/>
      <c r="E6" s="6"/>
      <c r="F6" s="6"/>
      <c r="G6" s="6"/>
    </row>
    <row r="7" spans="1:7" x14ac:dyDescent="0.2">
      <c r="A7" s="5"/>
      <c r="B7" s="5"/>
      <c r="C7" s="5"/>
      <c r="D7" s="5"/>
      <c r="E7" s="5"/>
      <c r="F7" s="5"/>
      <c r="G7" s="5"/>
    </row>
    <row r="8" spans="1:7" x14ac:dyDescent="0.2">
      <c r="A8" s="7"/>
      <c r="B8" s="7"/>
      <c r="C8" s="7"/>
      <c r="D8" s="7"/>
      <c r="E8" s="7"/>
      <c r="G8" s="9"/>
    </row>
    <row r="9" spans="1:7" ht="15" customHeight="1" x14ac:dyDescent="0.2">
      <c r="A9" s="7"/>
      <c r="B9" s="7"/>
      <c r="C9" s="7"/>
      <c r="D9" s="7"/>
      <c r="E9" s="7"/>
      <c r="F9" s="3"/>
      <c r="G9" s="9" t="s">
        <v>4</v>
      </c>
    </row>
    <row r="10" spans="1:7" ht="15" customHeight="1" thickBot="1" x14ac:dyDescent="0.3">
      <c r="A10" s="10" t="s">
        <v>5</v>
      </c>
      <c r="B10" s="11" t="s">
        <v>6</v>
      </c>
      <c r="C10" s="12"/>
      <c r="D10" s="12"/>
      <c r="E10" s="12"/>
      <c r="F10" s="3"/>
      <c r="G10" s="9"/>
    </row>
    <row r="11" spans="1:7" ht="13.5" customHeight="1" thickBot="1" x14ac:dyDescent="0.25">
      <c r="A11" s="13" t="s">
        <v>7</v>
      </c>
      <c r="B11" s="14" t="s">
        <v>8</v>
      </c>
      <c r="C11" s="14" t="s">
        <v>9</v>
      </c>
      <c r="D11" s="14" t="s">
        <v>10</v>
      </c>
      <c r="E11" s="14" t="s">
        <v>11</v>
      </c>
      <c r="F11" s="14" t="s">
        <v>12</v>
      </c>
      <c r="G11" s="15" t="s">
        <v>13</v>
      </c>
    </row>
    <row r="12" spans="1:7" x14ac:dyDescent="0.2">
      <c r="A12" s="16"/>
      <c r="B12" s="17"/>
      <c r="C12" s="17"/>
      <c r="D12" s="17"/>
      <c r="E12" s="17"/>
      <c r="F12" s="17"/>
      <c r="G12" s="18"/>
    </row>
    <row r="13" spans="1:7" s="25" customFormat="1" ht="24.6" customHeight="1" x14ac:dyDescent="0.2">
      <c r="A13" s="19">
        <v>1</v>
      </c>
      <c r="B13" s="20" t="s">
        <v>14</v>
      </c>
      <c r="C13" s="21"/>
      <c r="D13" s="22"/>
      <c r="E13" s="23"/>
      <c r="F13" s="23"/>
      <c r="G13" s="24"/>
    </row>
    <row r="14" spans="1:7" s="25" customFormat="1" ht="25.2" x14ac:dyDescent="0.2">
      <c r="A14" s="26">
        <f>+A13+0.01</f>
        <v>1.01</v>
      </c>
      <c r="B14" s="27" t="s">
        <v>15</v>
      </c>
      <c r="C14" s="28">
        <v>478.49</v>
      </c>
      <c r="D14" s="29" t="s">
        <v>16</v>
      </c>
      <c r="E14" s="30"/>
      <c r="F14" s="31">
        <f t="shared" ref="F14" si="0">+ROUND((C14*E14),2)</f>
        <v>0</v>
      </c>
      <c r="G14" s="32"/>
    </row>
    <row r="15" spans="1:7" s="25" customFormat="1" ht="23.4" customHeight="1" x14ac:dyDescent="0.2">
      <c r="A15" s="26">
        <f>+A14+0.01</f>
        <v>1.02</v>
      </c>
      <c r="B15" s="27" t="s">
        <v>17</v>
      </c>
      <c r="C15" s="28">
        <v>478.49</v>
      </c>
      <c r="D15" s="29" t="s">
        <v>16</v>
      </c>
      <c r="E15" s="30"/>
      <c r="F15" s="31">
        <f>+ROUND((C15*E15),2)</f>
        <v>0</v>
      </c>
      <c r="G15" s="33"/>
    </row>
    <row r="16" spans="1:7" s="25" customFormat="1" ht="25.8" customHeight="1" x14ac:dyDescent="0.2">
      <c r="A16" s="26">
        <f t="shared" ref="A16:A17" si="1">+A15+0.01</f>
        <v>1.03</v>
      </c>
      <c r="B16" s="27" t="s">
        <v>18</v>
      </c>
      <c r="C16" s="28">
        <f>+C15</f>
        <v>478.49</v>
      </c>
      <c r="D16" s="29" t="s">
        <v>16</v>
      </c>
      <c r="E16" s="30"/>
      <c r="F16" s="31">
        <f t="shared" ref="F16" si="2">+ROUND((C16*E16),2)</f>
        <v>0</v>
      </c>
      <c r="G16" s="32"/>
    </row>
    <row r="17" spans="1:7" s="25" customFormat="1" ht="25.8" customHeight="1" x14ac:dyDescent="0.2">
      <c r="A17" s="26">
        <f t="shared" si="1"/>
        <v>1.04</v>
      </c>
      <c r="B17" s="27" t="s">
        <v>19</v>
      </c>
      <c r="C17" s="28">
        <v>1</v>
      </c>
      <c r="D17" s="29" t="s">
        <v>20</v>
      </c>
      <c r="E17" s="30"/>
      <c r="F17" s="31">
        <f>+ROUND((C17*E17),2)</f>
        <v>0</v>
      </c>
      <c r="G17" s="34">
        <f>SUM(F14:F17)</f>
        <v>0</v>
      </c>
    </row>
    <row r="18" spans="1:7" ht="22.8" customHeight="1" x14ac:dyDescent="0.2">
      <c r="A18" s="35">
        <v>2</v>
      </c>
      <c r="B18" s="36" t="s">
        <v>21</v>
      </c>
      <c r="C18" s="37"/>
      <c r="E18" s="38"/>
      <c r="F18" s="38"/>
      <c r="G18" s="39"/>
    </row>
    <row r="19" spans="1:7" ht="23.4" customHeight="1" x14ac:dyDescent="0.2">
      <c r="A19" s="40">
        <f>+A18+0.01</f>
        <v>2.0099999999999998</v>
      </c>
      <c r="B19" s="41" t="s">
        <v>22</v>
      </c>
      <c r="C19" s="42">
        <f>+[1]VOLUMETRIA!F4</f>
        <v>956.9742</v>
      </c>
      <c r="D19" s="43" t="s">
        <v>16</v>
      </c>
      <c r="E19" s="31"/>
      <c r="F19" s="31">
        <f>+ROUND((C19*E19),2)</f>
        <v>0</v>
      </c>
      <c r="G19" s="32"/>
    </row>
    <row r="20" spans="1:7" ht="22.8" customHeight="1" x14ac:dyDescent="0.2">
      <c r="A20" s="40">
        <f t="shared" ref="A20:A31" si="3">+A19+0.01</f>
        <v>2.0199999999999996</v>
      </c>
      <c r="B20" s="41" t="s">
        <v>23</v>
      </c>
      <c r="C20" s="42">
        <f>+[1]VOLUMETRIA!G6</f>
        <v>16.087199999999999</v>
      </c>
      <c r="D20" s="43" t="s">
        <v>24</v>
      </c>
      <c r="E20" s="31"/>
      <c r="F20" s="31">
        <f t="shared" ref="F20:F31" si="4">+ROUND((C20*E20),2)</f>
        <v>0</v>
      </c>
      <c r="G20" s="32"/>
    </row>
    <row r="21" spans="1:7" ht="22.8" customHeight="1" x14ac:dyDescent="0.2">
      <c r="A21" s="40">
        <f t="shared" si="3"/>
        <v>2.0299999999999994</v>
      </c>
      <c r="B21" s="41" t="s">
        <v>25</v>
      </c>
      <c r="C21" s="42">
        <f>+C19</f>
        <v>956.9742</v>
      </c>
      <c r="D21" s="43" t="s">
        <v>24</v>
      </c>
      <c r="E21" s="31"/>
      <c r="F21" s="31">
        <f t="shared" si="4"/>
        <v>0</v>
      </c>
      <c r="G21" s="32"/>
    </row>
    <row r="22" spans="1:7" ht="22.8" customHeight="1" x14ac:dyDescent="0.2">
      <c r="A22" s="40">
        <f t="shared" si="3"/>
        <v>2.0399999999999991</v>
      </c>
      <c r="B22" s="41" t="s">
        <v>26</v>
      </c>
      <c r="C22" s="42">
        <f>+[1]VOLUMETRIA!G8</f>
        <v>191.39484000000002</v>
      </c>
      <c r="D22" s="43" t="s">
        <v>16</v>
      </c>
      <c r="E22" s="31"/>
      <c r="F22" s="31">
        <f t="shared" si="4"/>
        <v>0</v>
      </c>
      <c r="G22" s="32"/>
    </row>
    <row r="23" spans="1:7" ht="41.4" customHeight="1" x14ac:dyDescent="0.2">
      <c r="A23" s="40">
        <f t="shared" si="3"/>
        <v>2.0499999999999989</v>
      </c>
      <c r="B23" s="44" t="s">
        <v>27</v>
      </c>
      <c r="C23" s="42">
        <f>+[1]VOLUMETRIA!G9</f>
        <v>478.4871</v>
      </c>
      <c r="D23" s="43" t="s">
        <v>28</v>
      </c>
      <c r="E23" s="31"/>
      <c r="F23" s="31">
        <f t="shared" si="4"/>
        <v>0</v>
      </c>
      <c r="G23" s="32"/>
    </row>
    <row r="24" spans="1:7" ht="27.6" customHeight="1" x14ac:dyDescent="0.2">
      <c r="A24" s="40">
        <f t="shared" si="3"/>
        <v>2.0599999999999987</v>
      </c>
      <c r="B24" s="44" t="s">
        <v>29</v>
      </c>
      <c r="C24" s="42">
        <f>18*1*1*0.25</f>
        <v>4.5</v>
      </c>
      <c r="D24" s="43" t="s">
        <v>24</v>
      </c>
      <c r="E24" s="31"/>
      <c r="F24" s="31">
        <f t="shared" si="4"/>
        <v>0</v>
      </c>
      <c r="G24" s="32"/>
    </row>
    <row r="25" spans="1:7" ht="27.6" customHeight="1" x14ac:dyDescent="0.2">
      <c r="A25" s="40">
        <f t="shared" si="3"/>
        <v>2.0699999999999985</v>
      </c>
      <c r="B25" s="44" t="s">
        <v>30</v>
      </c>
      <c r="C25" s="42">
        <f>+[1]VOLUMETRIA!I36</f>
        <v>4.3227000000000002</v>
      </c>
      <c r="D25" s="43" t="s">
        <v>24</v>
      </c>
      <c r="E25" s="31"/>
      <c r="F25" s="31">
        <f t="shared" si="4"/>
        <v>0</v>
      </c>
      <c r="G25" s="32"/>
    </row>
    <row r="26" spans="1:7" ht="27.6" customHeight="1" x14ac:dyDescent="0.2">
      <c r="A26" s="40">
        <f t="shared" si="3"/>
        <v>2.0799999999999983</v>
      </c>
      <c r="B26" s="44" t="s">
        <v>31</v>
      </c>
      <c r="C26" s="42">
        <f>+[1]VOLUMETRIA!I47</f>
        <v>23.006700000000002</v>
      </c>
      <c r="D26" s="43" t="s">
        <v>24</v>
      </c>
      <c r="E26" s="31"/>
      <c r="F26" s="31">
        <f t="shared" si="4"/>
        <v>0</v>
      </c>
      <c r="G26" s="32"/>
    </row>
    <row r="27" spans="1:7" ht="30" customHeight="1" x14ac:dyDescent="0.2">
      <c r="A27" s="40">
        <f t="shared" si="3"/>
        <v>2.0899999999999981</v>
      </c>
      <c r="B27" s="44" t="s">
        <v>32</v>
      </c>
      <c r="C27" s="42"/>
      <c r="D27" s="43" t="s">
        <v>24</v>
      </c>
      <c r="E27" s="31"/>
      <c r="F27" s="31">
        <f t="shared" si="4"/>
        <v>0</v>
      </c>
      <c r="G27" s="32"/>
    </row>
    <row r="28" spans="1:7" ht="25.2" customHeight="1" x14ac:dyDescent="0.2">
      <c r="A28" s="40">
        <f t="shared" si="3"/>
        <v>2.0999999999999979</v>
      </c>
      <c r="B28" s="41" t="s">
        <v>33</v>
      </c>
      <c r="C28" s="42">
        <f>+[1]VOLUMETRIA!H11</f>
        <v>175.59666300000001</v>
      </c>
      <c r="D28" s="43" t="s">
        <v>34</v>
      </c>
      <c r="E28" s="31"/>
      <c r="F28" s="31">
        <f t="shared" si="4"/>
        <v>0</v>
      </c>
      <c r="G28" s="32"/>
    </row>
    <row r="29" spans="1:7" ht="25.8" customHeight="1" x14ac:dyDescent="0.2">
      <c r="A29" s="40">
        <f>+A28+0.01</f>
        <v>2.1099999999999977</v>
      </c>
      <c r="B29" s="41" t="s">
        <v>35</v>
      </c>
      <c r="C29" s="42">
        <f>+[1]VOLUMETRIA!I64</f>
        <v>20.622000000000011</v>
      </c>
      <c r="D29" s="43" t="s">
        <v>28</v>
      </c>
      <c r="E29" s="31"/>
      <c r="F29" s="31">
        <f t="shared" si="4"/>
        <v>0</v>
      </c>
      <c r="G29" s="32"/>
    </row>
    <row r="30" spans="1:7" ht="25.8" customHeight="1" x14ac:dyDescent="0.2">
      <c r="A30" s="40">
        <f t="shared" si="3"/>
        <v>2.1199999999999974</v>
      </c>
      <c r="B30" s="45" t="s">
        <v>36</v>
      </c>
      <c r="C30" s="46">
        <f>+[1]VOLUMETRIA!I36+[1]VOLUMETRIA!I47</f>
        <v>27.329400000000003</v>
      </c>
      <c r="D30" s="47" t="s">
        <v>24</v>
      </c>
      <c r="E30" s="48"/>
      <c r="F30" s="31">
        <f t="shared" si="4"/>
        <v>0</v>
      </c>
      <c r="G30" s="32"/>
    </row>
    <row r="31" spans="1:7" ht="29.4" customHeight="1" x14ac:dyDescent="0.2">
      <c r="A31" s="40">
        <f t="shared" si="3"/>
        <v>2.1299999999999972</v>
      </c>
      <c r="B31" s="45" t="s">
        <v>37</v>
      </c>
      <c r="C31" s="46">
        <f>+[1]VOLUMETRIA!I61</f>
        <v>24.534000000000002</v>
      </c>
      <c r="D31" s="47" t="s">
        <v>38</v>
      </c>
      <c r="E31" s="48"/>
      <c r="F31" s="31">
        <f t="shared" si="4"/>
        <v>0</v>
      </c>
      <c r="G31" s="32"/>
    </row>
    <row r="32" spans="1:7" ht="28.2" customHeight="1" x14ac:dyDescent="0.2">
      <c r="A32" s="40"/>
      <c r="B32" s="44"/>
      <c r="C32" s="42"/>
      <c r="D32" s="43"/>
      <c r="E32" s="31"/>
      <c r="F32" s="31"/>
      <c r="G32" s="34">
        <f>SUM(F19:F32)</f>
        <v>0</v>
      </c>
    </row>
    <row r="33" spans="1:7" ht="24" customHeight="1" x14ac:dyDescent="0.2">
      <c r="A33" s="35">
        <v>3</v>
      </c>
      <c r="B33" s="36" t="s">
        <v>39</v>
      </c>
      <c r="C33" s="37"/>
      <c r="E33" s="38"/>
      <c r="F33" s="38"/>
      <c r="G33" s="39"/>
    </row>
    <row r="34" spans="1:7" ht="41.4" customHeight="1" x14ac:dyDescent="0.2">
      <c r="A34" s="40">
        <v>3.01</v>
      </c>
      <c r="B34" s="49" t="s">
        <v>40</v>
      </c>
      <c r="C34" s="50">
        <f>464.39*0.3</f>
        <v>139.31699999999998</v>
      </c>
      <c r="D34" s="43" t="s">
        <v>41</v>
      </c>
      <c r="E34" s="51"/>
      <c r="F34" s="51">
        <f t="shared" ref="F34:F36" si="5">+ROUND((C34*E34),2)</f>
        <v>0</v>
      </c>
      <c r="G34" s="39"/>
    </row>
    <row r="35" spans="1:7" ht="42" customHeight="1" x14ac:dyDescent="0.2">
      <c r="A35" s="40">
        <f>+A34+0.01</f>
        <v>3.0199999999999996</v>
      </c>
      <c r="B35" s="49" t="s">
        <v>42</v>
      </c>
      <c r="C35" s="50">
        <f>45.83*0.4</f>
        <v>18.332000000000001</v>
      </c>
      <c r="D35" s="43" t="s">
        <v>41</v>
      </c>
      <c r="E35" s="51"/>
      <c r="F35" s="51">
        <f t="shared" si="5"/>
        <v>0</v>
      </c>
      <c r="G35" s="39"/>
    </row>
    <row r="36" spans="1:7" ht="35.4" customHeight="1" x14ac:dyDescent="0.2">
      <c r="A36" s="40">
        <f t="shared" ref="A36:A69" si="6">+A35+0.01</f>
        <v>3.0299999999999994</v>
      </c>
      <c r="B36" s="44" t="s">
        <v>43</v>
      </c>
      <c r="C36" s="42">
        <f>18*1*1*0.25</f>
        <v>4.5</v>
      </c>
      <c r="D36" s="43" t="s">
        <v>24</v>
      </c>
      <c r="E36" s="51"/>
      <c r="F36" s="51">
        <f t="shared" si="5"/>
        <v>0</v>
      </c>
      <c r="G36" s="39"/>
    </row>
    <row r="37" spans="1:7" ht="28.8" customHeight="1" x14ac:dyDescent="0.2">
      <c r="A37" s="40">
        <f t="shared" si="6"/>
        <v>3.0399999999999991</v>
      </c>
      <c r="B37" s="49" t="s">
        <v>44</v>
      </c>
      <c r="C37" s="50">
        <f>112.98*0.6*0.25+(14.45+2.3+15.45+2.5+2.5+2.23+2.15+1.8)*0.6*0.25</f>
        <v>23.453999999999997</v>
      </c>
      <c r="D37" s="52" t="s">
        <v>24</v>
      </c>
      <c r="E37" s="51"/>
      <c r="F37" s="51">
        <f>+ROUND((C37*E37),2)</f>
        <v>0</v>
      </c>
      <c r="G37" s="39"/>
    </row>
    <row r="38" spans="1:7" ht="34.799999999999997" customHeight="1" x14ac:dyDescent="0.2">
      <c r="A38" s="40">
        <f t="shared" si="6"/>
        <v>3.0499999999999989</v>
      </c>
      <c r="B38" s="49" t="s">
        <v>45</v>
      </c>
      <c r="C38" s="50">
        <f>(2.2*4+2.65+2.25)*0.45*0.25</f>
        <v>1.5412500000000002</v>
      </c>
      <c r="D38" s="52" t="s">
        <v>24</v>
      </c>
      <c r="E38" s="51"/>
      <c r="F38" s="51">
        <f t="shared" ref="F38" si="7">+ROUND((C38*E38),2)</f>
        <v>0</v>
      </c>
      <c r="G38" s="39"/>
    </row>
    <row r="39" spans="1:7" ht="26.4" customHeight="1" x14ac:dyDescent="0.2">
      <c r="A39" s="40">
        <f t="shared" si="6"/>
        <v>3.0599999999999987</v>
      </c>
      <c r="B39" s="41" t="s">
        <v>46</v>
      </c>
      <c r="C39" s="50">
        <f>+[1]VOLUMETRIA!J74</f>
        <v>4.1159999999999988</v>
      </c>
      <c r="D39" s="52" t="s">
        <v>24</v>
      </c>
      <c r="E39" s="51"/>
      <c r="F39" s="51">
        <f>+ROUND((C39*E39),2)</f>
        <v>0</v>
      </c>
      <c r="G39" s="39"/>
    </row>
    <row r="40" spans="1:7" ht="33.6" customHeight="1" x14ac:dyDescent="0.2">
      <c r="A40" s="40">
        <f t="shared" si="6"/>
        <v>3.0699999999999985</v>
      </c>
      <c r="B40" s="49" t="s">
        <v>47</v>
      </c>
      <c r="C40" s="50">
        <f>+[1]VOLUMETRIA!J75+[1]VOLUMETRIA!I109+[1]VOLUMETRIA!I120+[1]VOLUMETRIA!I134</f>
        <v>26.05095</v>
      </c>
      <c r="D40" s="52" t="s">
        <v>24</v>
      </c>
      <c r="E40" s="51"/>
      <c r="F40" s="51">
        <f>+ROUND((C40*E40),2)</f>
        <v>0</v>
      </c>
      <c r="G40" s="39"/>
    </row>
    <row r="41" spans="1:7" ht="19.8" customHeight="1" x14ac:dyDescent="0.2">
      <c r="A41" s="40">
        <f t="shared" si="6"/>
        <v>3.0799999999999983</v>
      </c>
      <c r="B41" s="44" t="s">
        <v>48</v>
      </c>
      <c r="C41" s="50">
        <f>+[1]VOLUMETRIA!J81</f>
        <v>0.83200000000000007</v>
      </c>
      <c r="D41" s="52" t="s">
        <v>24</v>
      </c>
      <c r="E41" s="51"/>
      <c r="F41" s="51">
        <f>+ROUND((C41*E41),2)</f>
        <v>0</v>
      </c>
      <c r="G41" s="39"/>
    </row>
    <row r="42" spans="1:7" ht="19.8" customHeight="1" x14ac:dyDescent="0.2">
      <c r="A42" s="40">
        <f t="shared" si="6"/>
        <v>3.0899999999999981</v>
      </c>
      <c r="B42" s="44" t="s">
        <v>49</v>
      </c>
      <c r="C42" s="50">
        <f>+[1]VOLUMETRIA!J82</f>
        <v>0.74880000000000013</v>
      </c>
      <c r="D42" s="52" t="s">
        <v>24</v>
      </c>
      <c r="E42" s="51"/>
      <c r="F42" s="51">
        <f t="shared" ref="F42:F69" si="8">+ROUND((C42*E42),2)</f>
        <v>0</v>
      </c>
      <c r="G42" s="39"/>
    </row>
    <row r="43" spans="1:7" ht="19.8" customHeight="1" x14ac:dyDescent="0.2">
      <c r="A43" s="40">
        <f t="shared" si="6"/>
        <v>3.0999999999999979</v>
      </c>
      <c r="B43" s="44" t="s">
        <v>50</v>
      </c>
      <c r="C43" s="50">
        <f>+[1]VOLUMETRIA!J83</f>
        <v>2.9952000000000005</v>
      </c>
      <c r="D43" s="52" t="s">
        <v>24</v>
      </c>
      <c r="E43" s="51"/>
      <c r="F43" s="51">
        <f t="shared" si="8"/>
        <v>0</v>
      </c>
      <c r="G43" s="39"/>
    </row>
    <row r="44" spans="1:7" ht="19.8" customHeight="1" x14ac:dyDescent="0.2">
      <c r="A44" s="40">
        <f t="shared" si="6"/>
        <v>3.1099999999999977</v>
      </c>
      <c r="B44" s="44" t="s">
        <v>51</v>
      </c>
      <c r="C44" s="50">
        <f>+[1]VOLUMETRIA!J84</f>
        <v>0.24960000000000002</v>
      </c>
      <c r="D44" s="52" t="s">
        <v>24</v>
      </c>
      <c r="E44" s="51"/>
      <c r="F44" s="51">
        <f t="shared" si="8"/>
        <v>0</v>
      </c>
      <c r="G44" s="39"/>
    </row>
    <row r="45" spans="1:7" ht="19.8" customHeight="1" x14ac:dyDescent="0.2">
      <c r="A45" s="40">
        <f t="shared" si="6"/>
        <v>3.1199999999999974</v>
      </c>
      <c r="B45" s="44" t="s">
        <v>52</v>
      </c>
      <c r="C45" s="50">
        <f>+[1]VOLUMETRIA!J85</f>
        <v>3.3696000000000006</v>
      </c>
      <c r="D45" s="52" t="s">
        <v>24</v>
      </c>
      <c r="E45" s="51"/>
      <c r="F45" s="51">
        <f t="shared" si="8"/>
        <v>0</v>
      </c>
      <c r="G45" s="39"/>
    </row>
    <row r="46" spans="1:7" ht="34.200000000000003" customHeight="1" x14ac:dyDescent="0.2">
      <c r="A46" s="40">
        <f t="shared" si="6"/>
        <v>3.1299999999999972</v>
      </c>
      <c r="B46" s="44" t="s">
        <v>53</v>
      </c>
      <c r="C46" s="50">
        <f>+[1]VOLUMETRIA!J86</f>
        <v>0.40840799999999999</v>
      </c>
      <c r="D46" s="52" t="s">
        <v>24</v>
      </c>
      <c r="E46" s="51"/>
      <c r="F46" s="51">
        <f t="shared" si="8"/>
        <v>0</v>
      </c>
      <c r="G46" s="39"/>
    </row>
    <row r="47" spans="1:7" ht="30" customHeight="1" x14ac:dyDescent="0.2">
      <c r="A47" s="40">
        <f t="shared" si="6"/>
        <v>3.139999999999997</v>
      </c>
      <c r="B47" s="44" t="s">
        <v>54</v>
      </c>
      <c r="C47" s="50">
        <f>+[1]VOLUMETRIA!J87</f>
        <v>1.3232419200000001</v>
      </c>
      <c r="D47" s="52" t="s">
        <v>24</v>
      </c>
      <c r="E47" s="51"/>
      <c r="F47" s="51">
        <f t="shared" si="8"/>
        <v>0</v>
      </c>
      <c r="G47" s="39"/>
    </row>
    <row r="48" spans="1:7" ht="31.8" customHeight="1" x14ac:dyDescent="0.2">
      <c r="A48" s="40">
        <f t="shared" si="6"/>
        <v>3.1499999999999968</v>
      </c>
      <c r="B48" s="44" t="s">
        <v>55</v>
      </c>
      <c r="C48" s="50">
        <f>4*2.5*0.12</f>
        <v>1.2</v>
      </c>
      <c r="D48" s="52" t="s">
        <v>24</v>
      </c>
      <c r="E48" s="51"/>
      <c r="F48" s="51">
        <f t="shared" si="8"/>
        <v>0</v>
      </c>
      <c r="G48" s="39"/>
    </row>
    <row r="49" spans="1:7" ht="29.4" customHeight="1" x14ac:dyDescent="0.2">
      <c r="A49" s="40">
        <f>+A48+0.01</f>
        <v>3.1599999999999966</v>
      </c>
      <c r="B49" s="44" t="s">
        <v>56</v>
      </c>
      <c r="C49" s="50">
        <f>14.4*2.7*0.12</f>
        <v>4.6656000000000004</v>
      </c>
      <c r="D49" s="52" t="s">
        <v>24</v>
      </c>
      <c r="E49" s="51"/>
      <c r="F49" s="51">
        <f t="shared" si="8"/>
        <v>0</v>
      </c>
      <c r="G49" s="39"/>
    </row>
    <row r="50" spans="1:7" ht="29.4" customHeight="1" x14ac:dyDescent="0.2">
      <c r="A50" s="40">
        <f t="shared" si="6"/>
        <v>3.1699999999999964</v>
      </c>
      <c r="B50" s="44" t="s">
        <v>57</v>
      </c>
      <c r="C50" s="50">
        <f>1.97*2.26*0.12</f>
        <v>0.53426399999999996</v>
      </c>
      <c r="D50" s="52" t="s">
        <v>24</v>
      </c>
      <c r="E50" s="51"/>
      <c r="F50" s="51">
        <f t="shared" si="8"/>
        <v>0</v>
      </c>
      <c r="G50" s="39"/>
    </row>
    <row r="51" spans="1:7" ht="29.4" customHeight="1" x14ac:dyDescent="0.2">
      <c r="A51" s="40">
        <f t="shared" si="6"/>
        <v>3.1799999999999962</v>
      </c>
      <c r="B51" s="44" t="s">
        <v>58</v>
      </c>
      <c r="C51" s="50">
        <f>8*3.4*0.12</f>
        <v>3.2639999999999998</v>
      </c>
      <c r="D51" s="52" t="s">
        <v>24</v>
      </c>
      <c r="E51" s="51"/>
      <c r="F51" s="51">
        <f t="shared" si="8"/>
        <v>0</v>
      </c>
      <c r="G51" s="39"/>
    </row>
    <row r="52" spans="1:7" ht="49.2" customHeight="1" x14ac:dyDescent="0.2">
      <c r="A52" s="40">
        <f t="shared" si="6"/>
        <v>3.1899999999999959</v>
      </c>
      <c r="B52" s="44" t="s">
        <v>59</v>
      </c>
      <c r="C52" s="50">
        <f>66.5*0.16*1.1</f>
        <v>11.704000000000002</v>
      </c>
      <c r="D52" s="52" t="s">
        <v>24</v>
      </c>
      <c r="E52" s="51"/>
      <c r="F52" s="51">
        <f t="shared" si="8"/>
        <v>0</v>
      </c>
      <c r="G52" s="39"/>
    </row>
    <row r="53" spans="1:7" ht="29.4" customHeight="1" x14ac:dyDescent="0.2">
      <c r="A53" s="40">
        <f t="shared" si="6"/>
        <v>3.1999999999999957</v>
      </c>
      <c r="B53" s="44" t="s">
        <v>60</v>
      </c>
      <c r="C53" s="50">
        <f>2.18*2.7*0.12</f>
        <v>0.70632000000000006</v>
      </c>
      <c r="D53" s="52" t="s">
        <v>24</v>
      </c>
      <c r="E53" s="51"/>
      <c r="F53" s="51">
        <f t="shared" si="8"/>
        <v>0</v>
      </c>
      <c r="G53" s="39"/>
    </row>
    <row r="54" spans="1:7" ht="35.4" customHeight="1" x14ac:dyDescent="0.2">
      <c r="A54" s="40">
        <f t="shared" si="6"/>
        <v>3.2099999999999955</v>
      </c>
      <c r="B54" s="44" t="s">
        <v>61</v>
      </c>
      <c r="C54" s="50">
        <f>8.92*2.8*0.12</f>
        <v>2.9971199999999998</v>
      </c>
      <c r="D54" s="52" t="s">
        <v>24</v>
      </c>
      <c r="E54" s="51"/>
      <c r="F54" s="51">
        <f t="shared" si="8"/>
        <v>0</v>
      </c>
      <c r="G54" s="39"/>
    </row>
    <row r="55" spans="1:7" ht="35.4" customHeight="1" x14ac:dyDescent="0.2">
      <c r="A55" s="40">
        <f>+A54+0.01</f>
        <v>3.2199999999999953</v>
      </c>
      <c r="B55" s="44" t="s">
        <v>62</v>
      </c>
      <c r="C55" s="50">
        <f>6.5*1.4*0.12*1.1</f>
        <v>1.2012</v>
      </c>
      <c r="D55" s="52" t="s">
        <v>24</v>
      </c>
      <c r="E55" s="51"/>
      <c r="F55" s="51">
        <f t="shared" si="8"/>
        <v>0</v>
      </c>
      <c r="G55" s="39"/>
    </row>
    <row r="56" spans="1:7" ht="43.2" customHeight="1" x14ac:dyDescent="0.2">
      <c r="A56" s="40">
        <f t="shared" si="6"/>
        <v>3.2299999999999951</v>
      </c>
      <c r="B56" s="44" t="s">
        <v>63</v>
      </c>
      <c r="C56" s="50">
        <f>6.5*4*0.12+2.9*3.15*0.12+6.34*0.12*1.1</f>
        <v>5.0530799999999996</v>
      </c>
      <c r="D56" s="52" t="s">
        <v>24</v>
      </c>
      <c r="E56" s="51"/>
      <c r="F56" s="51">
        <f t="shared" si="8"/>
        <v>0</v>
      </c>
      <c r="G56" s="39"/>
    </row>
    <row r="57" spans="1:7" ht="35.4" customHeight="1" x14ac:dyDescent="0.2">
      <c r="A57" s="40">
        <f t="shared" si="6"/>
        <v>3.2399999999999949</v>
      </c>
      <c r="B57" s="44" t="s">
        <v>64</v>
      </c>
      <c r="C57" s="50">
        <f>5.9*6.2*0.14</f>
        <v>5.1212000000000009</v>
      </c>
      <c r="D57" s="52" t="s">
        <v>24</v>
      </c>
      <c r="E57" s="51"/>
      <c r="F57" s="51">
        <f t="shared" si="8"/>
        <v>0</v>
      </c>
      <c r="G57" s="39"/>
    </row>
    <row r="58" spans="1:7" ht="25.8" customHeight="1" x14ac:dyDescent="0.2">
      <c r="A58" s="40">
        <f t="shared" si="6"/>
        <v>3.2499999999999947</v>
      </c>
      <c r="B58" s="44" t="s">
        <v>65</v>
      </c>
      <c r="C58" s="50">
        <f>(5.3+0.4+7.1)*0.25*0.4*1.05</f>
        <v>1.3440000000000003</v>
      </c>
      <c r="D58" s="52" t="s">
        <v>24</v>
      </c>
      <c r="E58" s="51"/>
      <c r="F58" s="51">
        <f t="shared" si="8"/>
        <v>0</v>
      </c>
      <c r="G58" s="39"/>
    </row>
    <row r="59" spans="1:7" ht="25.8" customHeight="1" x14ac:dyDescent="0.2">
      <c r="A59" s="40">
        <f t="shared" si="6"/>
        <v>3.2599999999999945</v>
      </c>
      <c r="B59" s="44" t="s">
        <v>66</v>
      </c>
      <c r="C59" s="50">
        <f>5.11*0.2*0.6</f>
        <v>0.61319999999999997</v>
      </c>
      <c r="D59" s="52" t="s">
        <v>24</v>
      </c>
      <c r="E59" s="51"/>
      <c r="F59" s="51">
        <f t="shared" si="8"/>
        <v>0</v>
      </c>
      <c r="G59" s="39"/>
    </row>
    <row r="60" spans="1:7" ht="25.8" customHeight="1" x14ac:dyDescent="0.2">
      <c r="A60" s="40">
        <f t="shared" si="6"/>
        <v>3.2699999999999942</v>
      </c>
      <c r="B60" s="44" t="s">
        <v>67</v>
      </c>
      <c r="C60" s="50">
        <f>11.26*0.2*0.5*1.05</f>
        <v>1.1823000000000001</v>
      </c>
      <c r="D60" s="52" t="s">
        <v>24</v>
      </c>
      <c r="E60" s="51"/>
      <c r="F60" s="51">
        <f t="shared" si="8"/>
        <v>0</v>
      </c>
      <c r="G60" s="39"/>
    </row>
    <row r="61" spans="1:7" ht="25.8" customHeight="1" x14ac:dyDescent="0.2">
      <c r="A61" s="40">
        <f>+A60+0.01</f>
        <v>3.279999999999994</v>
      </c>
      <c r="B61" s="44" t="s">
        <v>68</v>
      </c>
      <c r="C61" s="50">
        <f>3.94*0.2*0.4*1.05</f>
        <v>0.33096000000000003</v>
      </c>
      <c r="D61" s="52" t="s">
        <v>24</v>
      </c>
      <c r="E61" s="51"/>
      <c r="F61" s="51">
        <f t="shared" si="8"/>
        <v>0</v>
      </c>
      <c r="G61" s="39"/>
    </row>
    <row r="62" spans="1:7" ht="25.8" customHeight="1" x14ac:dyDescent="0.2">
      <c r="A62" s="40">
        <f t="shared" si="6"/>
        <v>3.2899999999999938</v>
      </c>
      <c r="B62" s="44" t="s">
        <v>69</v>
      </c>
      <c r="C62" s="50">
        <f>2.5*5*0.2*0.3</f>
        <v>0.75</v>
      </c>
      <c r="D62" s="52" t="s">
        <v>24</v>
      </c>
      <c r="E62" s="51"/>
      <c r="F62" s="51">
        <f t="shared" si="8"/>
        <v>0</v>
      </c>
      <c r="G62" s="39"/>
    </row>
    <row r="63" spans="1:7" ht="25.8" customHeight="1" x14ac:dyDescent="0.2">
      <c r="A63" s="40">
        <f t="shared" si="6"/>
        <v>3.2999999999999936</v>
      </c>
      <c r="B63" s="44" t="s">
        <v>70</v>
      </c>
      <c r="C63" s="50">
        <f>29*0.2*0.3*2.5*1.05</f>
        <v>4.5675000000000008</v>
      </c>
      <c r="D63" s="52" t="s">
        <v>24</v>
      </c>
      <c r="E63" s="51"/>
      <c r="F63" s="51">
        <f t="shared" si="8"/>
        <v>0</v>
      </c>
      <c r="G63" s="39"/>
    </row>
    <row r="64" spans="1:7" ht="25.8" customHeight="1" x14ac:dyDescent="0.2">
      <c r="A64" s="40">
        <f t="shared" si="6"/>
        <v>3.3099999999999934</v>
      </c>
      <c r="B64" s="44" t="s">
        <v>71</v>
      </c>
      <c r="C64" s="50">
        <f>3.23*0.2*0.3*1.05</f>
        <v>0.20349</v>
      </c>
      <c r="D64" s="52" t="s">
        <v>24</v>
      </c>
      <c r="E64" s="51"/>
      <c r="F64" s="51">
        <f t="shared" si="8"/>
        <v>0</v>
      </c>
      <c r="G64" s="39"/>
    </row>
    <row r="65" spans="1:7" ht="25.8" customHeight="1" x14ac:dyDescent="0.2">
      <c r="A65" s="40">
        <f t="shared" si="6"/>
        <v>3.3199999999999932</v>
      </c>
      <c r="B65" s="44" t="s">
        <v>72</v>
      </c>
      <c r="C65" s="50">
        <f>12*17.3</f>
        <v>207.60000000000002</v>
      </c>
      <c r="D65" s="52" t="s">
        <v>16</v>
      </c>
      <c r="E65" s="51"/>
      <c r="F65" s="51">
        <f t="shared" si="8"/>
        <v>0</v>
      </c>
      <c r="G65" s="39"/>
    </row>
    <row r="66" spans="1:7" ht="29.4" customHeight="1" x14ac:dyDescent="0.2">
      <c r="A66" s="40">
        <f t="shared" si="6"/>
        <v>3.329999999999993</v>
      </c>
      <c r="B66" s="44" t="s">
        <v>73</v>
      </c>
      <c r="C66" s="50">
        <f>+C65*1.1</f>
        <v>228.36000000000004</v>
      </c>
      <c r="D66" s="52" t="s">
        <v>16</v>
      </c>
      <c r="E66" s="51"/>
      <c r="F66" s="51">
        <f t="shared" si="8"/>
        <v>0</v>
      </c>
      <c r="G66" s="39"/>
    </row>
    <row r="67" spans="1:7" ht="29.4" customHeight="1" x14ac:dyDescent="0.2">
      <c r="A67" s="40">
        <f t="shared" si="6"/>
        <v>3.3399999999999928</v>
      </c>
      <c r="B67" s="44" t="s">
        <v>74</v>
      </c>
      <c r="C67" s="50">
        <f>17.5*3.28</f>
        <v>57.4</v>
      </c>
      <c r="D67" s="52" t="s">
        <v>75</v>
      </c>
      <c r="E67" s="51"/>
      <c r="F67" s="51">
        <f t="shared" si="8"/>
        <v>0</v>
      </c>
      <c r="G67" s="39"/>
    </row>
    <row r="68" spans="1:7" ht="29.4" customHeight="1" x14ac:dyDescent="0.2">
      <c r="A68" s="40">
        <f t="shared" si="6"/>
        <v>3.3499999999999925</v>
      </c>
      <c r="B68" s="44" t="s">
        <v>76</v>
      </c>
      <c r="C68" s="50">
        <f>+C67*2</f>
        <v>114.8</v>
      </c>
      <c r="D68" s="52" t="s">
        <v>75</v>
      </c>
      <c r="E68" s="51"/>
      <c r="F68" s="51">
        <f t="shared" si="8"/>
        <v>0</v>
      </c>
      <c r="G68" s="39"/>
    </row>
    <row r="69" spans="1:7" ht="29.4" customHeight="1" x14ac:dyDescent="0.2">
      <c r="A69" s="40">
        <f t="shared" si="6"/>
        <v>3.3599999999999923</v>
      </c>
      <c r="B69" s="44" t="s">
        <v>77</v>
      </c>
      <c r="C69" s="50">
        <f>16.5*3.28*2</f>
        <v>108.24</v>
      </c>
      <c r="D69" s="52" t="s">
        <v>75</v>
      </c>
      <c r="E69" s="51"/>
      <c r="F69" s="51">
        <f t="shared" si="8"/>
        <v>0</v>
      </c>
      <c r="G69" s="39"/>
    </row>
    <row r="70" spans="1:7" ht="21" customHeight="1" x14ac:dyDescent="0.2">
      <c r="A70" s="40"/>
      <c r="B70" s="44"/>
      <c r="C70" s="42"/>
      <c r="D70" s="43"/>
      <c r="E70" s="31"/>
      <c r="F70" s="51"/>
      <c r="G70" s="39">
        <f>SUM(F34:F70)</f>
        <v>0</v>
      </c>
    </row>
    <row r="71" spans="1:7" ht="21" customHeight="1" x14ac:dyDescent="0.2">
      <c r="A71" s="19">
        <v>4</v>
      </c>
      <c r="B71" s="20" t="s">
        <v>78</v>
      </c>
      <c r="C71" s="42"/>
      <c r="D71" s="43"/>
      <c r="E71" s="31"/>
      <c r="F71" s="31"/>
      <c r="G71" s="39"/>
    </row>
    <row r="72" spans="1:7" ht="28.8" customHeight="1" x14ac:dyDescent="0.2">
      <c r="A72" s="40">
        <v>4.01</v>
      </c>
      <c r="B72" s="44" t="s">
        <v>79</v>
      </c>
      <c r="C72" s="50">
        <f>+[1]VOLUMETRIA!I173</f>
        <v>468.23700000000002</v>
      </c>
      <c r="D72" s="52" t="s">
        <v>16</v>
      </c>
      <c r="E72" s="51"/>
      <c r="F72" s="51">
        <f t="shared" ref="F72" si="9">+ROUND((C72*E72),2)</f>
        <v>0</v>
      </c>
      <c r="G72" s="39"/>
    </row>
    <row r="73" spans="1:7" ht="28.8" customHeight="1" x14ac:dyDescent="0.2">
      <c r="A73" s="40">
        <v>4.0199999999999996</v>
      </c>
      <c r="B73" s="44" t="s">
        <v>80</v>
      </c>
      <c r="C73" s="50">
        <f>+[1]VOLUMETRIA!I179</f>
        <v>66.959999999999994</v>
      </c>
      <c r="D73" s="52" t="s">
        <v>16</v>
      </c>
      <c r="E73" s="51"/>
      <c r="F73" s="51">
        <f>+ROUND((C73*E73),2)</f>
        <v>0</v>
      </c>
      <c r="G73" s="39"/>
    </row>
    <row r="74" spans="1:7" ht="28.8" customHeight="1" x14ac:dyDescent="0.2">
      <c r="A74" s="40">
        <v>4.03</v>
      </c>
      <c r="B74" s="44" t="s">
        <v>81</v>
      </c>
      <c r="C74" s="50">
        <f>+[1]VOLUMETRIA!I186</f>
        <v>18.489999999999998</v>
      </c>
      <c r="D74" s="52" t="s">
        <v>16</v>
      </c>
      <c r="E74" s="51"/>
      <c r="F74" s="51">
        <f t="shared" ref="F74:F75" si="10">+ROUND((C74*E74),2)</f>
        <v>0</v>
      </c>
      <c r="G74" s="39"/>
    </row>
    <row r="75" spans="1:7" ht="28.8" customHeight="1" x14ac:dyDescent="0.2">
      <c r="A75" s="40">
        <v>4.0199999999999996</v>
      </c>
      <c r="B75" s="44" t="s">
        <v>82</v>
      </c>
      <c r="C75" s="50">
        <f>+[1]VOLUMETRIA!I197</f>
        <v>51.126000000000005</v>
      </c>
      <c r="D75" s="52" t="s">
        <v>16</v>
      </c>
      <c r="E75" s="51"/>
      <c r="F75" s="51">
        <f t="shared" si="10"/>
        <v>0</v>
      </c>
      <c r="G75" s="39"/>
    </row>
    <row r="76" spans="1:7" ht="28.8" customHeight="1" x14ac:dyDescent="0.2">
      <c r="A76" s="40">
        <v>4.0199999999999996</v>
      </c>
      <c r="B76" s="44" t="s">
        <v>83</v>
      </c>
      <c r="C76" s="50">
        <f>+[1]VOLUMETRIA!I179+[1]VOLUMETRIA!I210</f>
        <v>203.26</v>
      </c>
      <c r="D76" s="52" t="s">
        <v>16</v>
      </c>
      <c r="E76" s="51"/>
      <c r="F76" s="51">
        <f>+ROUND((C76*E76),2)</f>
        <v>0</v>
      </c>
      <c r="G76" s="53">
        <f>SUM(F72:F76)</f>
        <v>0</v>
      </c>
    </row>
    <row r="77" spans="1:7" ht="16.8" customHeight="1" x14ac:dyDescent="0.2">
      <c r="A77" s="40"/>
      <c r="B77" s="44"/>
      <c r="C77" s="54"/>
      <c r="E77" s="38"/>
      <c r="F77" s="38"/>
      <c r="G77" s="39"/>
    </row>
    <row r="78" spans="1:7" s="25" customFormat="1" ht="27.6" customHeight="1" x14ac:dyDescent="0.2">
      <c r="A78" s="55">
        <v>5</v>
      </c>
      <c r="B78" s="20" t="s">
        <v>84</v>
      </c>
      <c r="C78" s="56"/>
      <c r="D78" s="57"/>
      <c r="E78" s="58"/>
      <c r="F78" s="58"/>
      <c r="G78" s="59"/>
    </row>
    <row r="79" spans="1:7" s="25" customFormat="1" ht="27" customHeight="1" x14ac:dyDescent="0.2">
      <c r="A79" s="60">
        <f>+A78+0.01</f>
        <v>5.01</v>
      </c>
      <c r="B79" s="61" t="s">
        <v>85</v>
      </c>
      <c r="C79" s="46">
        <f>255+8.96+13.54+66.5+30.81+6.34+11.3+11.3+12.4*2.3+11.26*2.3</f>
        <v>458.16800000000001</v>
      </c>
      <c r="D79" s="47" t="s">
        <v>16</v>
      </c>
      <c r="E79" s="48"/>
      <c r="F79" s="51">
        <f t="shared" ref="F79:F91" si="11">+ROUND((C79*E79),2)</f>
        <v>0</v>
      </c>
      <c r="G79" s="62"/>
    </row>
    <row r="80" spans="1:7" s="25" customFormat="1" ht="35.4" customHeight="1" x14ac:dyDescent="0.2">
      <c r="A80" s="60">
        <f>+A79+0.01</f>
        <v>5.0199999999999996</v>
      </c>
      <c r="B80" s="27" t="s">
        <v>86</v>
      </c>
      <c r="C80" s="46">
        <f>+C72</f>
        <v>468.23700000000002</v>
      </c>
      <c r="D80" s="47" t="s">
        <v>16</v>
      </c>
      <c r="E80" s="48"/>
      <c r="F80" s="51">
        <f t="shared" si="11"/>
        <v>0</v>
      </c>
      <c r="G80" s="39"/>
    </row>
    <row r="81" spans="1:7" s="25" customFormat="1" ht="33.6" customHeight="1" x14ac:dyDescent="0.2">
      <c r="A81" s="60">
        <f t="shared" ref="A81:A91" si="12">+A80+0.01</f>
        <v>5.0299999999999994</v>
      </c>
      <c r="B81" s="27" t="s">
        <v>87</v>
      </c>
      <c r="C81" s="46">
        <f>+C72+C76*2</f>
        <v>874.75700000000006</v>
      </c>
      <c r="D81" s="47" t="s">
        <v>16</v>
      </c>
      <c r="E81" s="48"/>
      <c r="F81" s="51">
        <f t="shared" si="11"/>
        <v>0</v>
      </c>
      <c r="G81" s="39"/>
    </row>
    <row r="82" spans="1:7" s="25" customFormat="1" ht="28.2" customHeight="1" x14ac:dyDescent="0.2">
      <c r="A82" s="60">
        <f t="shared" si="12"/>
        <v>5.0399999999999991</v>
      </c>
      <c r="B82" s="61" t="s">
        <v>88</v>
      </c>
      <c r="C82" s="46">
        <f>8.96+13.54+66.5+30.81+6.34+11.3+11.3+12.4*2.3+11.26*2.3</f>
        <v>203.16800000000003</v>
      </c>
      <c r="D82" s="47" t="s">
        <v>16</v>
      </c>
      <c r="E82" s="48"/>
      <c r="F82" s="51">
        <f t="shared" si="11"/>
        <v>0</v>
      </c>
      <c r="G82" s="39"/>
    </row>
    <row r="83" spans="1:7" s="25" customFormat="1" ht="25.2" x14ac:dyDescent="0.2">
      <c r="A83" s="60">
        <f t="shared" si="12"/>
        <v>5.0499999999999989</v>
      </c>
      <c r="B83" s="45" t="s">
        <v>89</v>
      </c>
      <c r="C83" s="46">
        <f>1.4*22</f>
        <v>30.799999999999997</v>
      </c>
      <c r="D83" s="47" t="s">
        <v>16</v>
      </c>
      <c r="E83" s="48"/>
      <c r="F83" s="51">
        <f t="shared" si="11"/>
        <v>0</v>
      </c>
      <c r="G83" s="39"/>
    </row>
    <row r="84" spans="1:7" s="25" customFormat="1" ht="24.6" customHeight="1" x14ac:dyDescent="0.2">
      <c r="A84" s="60">
        <f t="shared" si="12"/>
        <v>5.0599999999999987</v>
      </c>
      <c r="B84" s="61" t="s">
        <v>90</v>
      </c>
      <c r="C84" s="46">
        <f>29*0.6</f>
        <v>17.399999999999999</v>
      </c>
      <c r="D84" s="47" t="s">
        <v>24</v>
      </c>
      <c r="E84" s="48"/>
      <c r="F84" s="51">
        <f t="shared" si="11"/>
        <v>0</v>
      </c>
      <c r="G84" s="39"/>
    </row>
    <row r="85" spans="1:7" s="25" customFormat="1" ht="32.4" customHeight="1" x14ac:dyDescent="0.2">
      <c r="A85" s="60">
        <f t="shared" si="12"/>
        <v>5.0699999999999985</v>
      </c>
      <c r="B85" s="27" t="s">
        <v>91</v>
      </c>
      <c r="C85" s="46">
        <f>+[1]VOLUMETRIA!I255+[1]VOLUMETRIA!I242+[1]VOLUMETRIA!I231</f>
        <v>360.70600000000002</v>
      </c>
      <c r="D85" s="47" t="s">
        <v>16</v>
      </c>
      <c r="E85" s="48"/>
      <c r="F85" s="51">
        <f t="shared" si="11"/>
        <v>0</v>
      </c>
      <c r="G85" s="39"/>
    </row>
    <row r="86" spans="1:7" s="25" customFormat="1" ht="24.6" customHeight="1" x14ac:dyDescent="0.2">
      <c r="A86" s="60">
        <f t="shared" si="12"/>
        <v>5.0799999999999983</v>
      </c>
      <c r="B86" s="45" t="s">
        <v>92</v>
      </c>
      <c r="C86" s="46">
        <f>112.98-10.8</f>
        <v>102.18</v>
      </c>
      <c r="D86" s="47" t="s">
        <v>93</v>
      </c>
      <c r="E86" s="48"/>
      <c r="F86" s="51">
        <f t="shared" si="11"/>
        <v>0</v>
      </c>
      <c r="G86" s="39"/>
    </row>
    <row r="87" spans="1:7" s="25" customFormat="1" ht="24.6" customHeight="1" x14ac:dyDescent="0.2">
      <c r="A87" s="60">
        <f t="shared" si="12"/>
        <v>5.0899999999999981</v>
      </c>
      <c r="B87" s="45" t="s">
        <v>94</v>
      </c>
      <c r="C87" s="46">
        <f>+[1]VOLUMETRIA!I393+[1]VOLUMETRIA!B257</f>
        <v>563.15000000000009</v>
      </c>
      <c r="D87" s="47" t="s">
        <v>93</v>
      </c>
      <c r="E87" s="48"/>
      <c r="F87" s="51">
        <f t="shared" si="11"/>
        <v>0</v>
      </c>
      <c r="G87" s="53"/>
    </row>
    <row r="88" spans="1:7" s="25" customFormat="1" ht="24.6" customHeight="1" x14ac:dyDescent="0.2">
      <c r="A88" s="60">
        <f t="shared" si="12"/>
        <v>5.0999999999999979</v>
      </c>
      <c r="B88" s="45" t="s">
        <v>95</v>
      </c>
      <c r="C88" s="46">
        <f>8.11+8.96+13.54+66.5+30.81+6.34+11.3+11.3+6*1.2+7.82*2.2</f>
        <v>181.26400000000001</v>
      </c>
      <c r="D88" s="47" t="s">
        <v>16</v>
      </c>
      <c r="E88" s="48"/>
      <c r="F88" s="51">
        <f t="shared" si="11"/>
        <v>0</v>
      </c>
      <c r="G88" s="39"/>
    </row>
    <row r="89" spans="1:7" s="25" customFormat="1" ht="24.6" customHeight="1" x14ac:dyDescent="0.2">
      <c r="A89" s="60">
        <f t="shared" si="12"/>
        <v>5.1099999999999977</v>
      </c>
      <c r="B89" s="45" t="s">
        <v>96</v>
      </c>
      <c r="C89" s="46">
        <v>112</v>
      </c>
      <c r="D89" s="47" t="s">
        <v>93</v>
      </c>
      <c r="E89" s="48"/>
      <c r="F89" s="51">
        <f t="shared" si="11"/>
        <v>0</v>
      </c>
      <c r="G89" s="39"/>
    </row>
    <row r="90" spans="1:7" s="25" customFormat="1" ht="24.6" customHeight="1" x14ac:dyDescent="0.2">
      <c r="A90" s="60">
        <f t="shared" si="12"/>
        <v>5.1199999999999974</v>
      </c>
      <c r="B90" s="45" t="s">
        <v>97</v>
      </c>
      <c r="C90" s="46">
        <v>10</v>
      </c>
      <c r="D90" s="47" t="s">
        <v>98</v>
      </c>
      <c r="E90" s="48"/>
      <c r="F90" s="51">
        <f t="shared" si="11"/>
        <v>0</v>
      </c>
      <c r="G90" s="39"/>
    </row>
    <row r="91" spans="1:7" s="25" customFormat="1" ht="24.6" customHeight="1" x14ac:dyDescent="0.2">
      <c r="A91" s="60">
        <f t="shared" si="12"/>
        <v>5.1299999999999972</v>
      </c>
      <c r="B91" s="45" t="s">
        <v>99</v>
      </c>
      <c r="C91" s="46">
        <v>89</v>
      </c>
      <c r="D91" s="47" t="s">
        <v>93</v>
      </c>
      <c r="E91" s="48"/>
      <c r="F91" s="51">
        <f t="shared" si="11"/>
        <v>0</v>
      </c>
      <c r="G91" s="53">
        <f>SUM(F79:F91)</f>
        <v>0</v>
      </c>
    </row>
    <row r="92" spans="1:7" s="25" customFormat="1" x14ac:dyDescent="0.2">
      <c r="A92" s="63"/>
      <c r="B92" s="64"/>
      <c r="C92" s="65"/>
      <c r="D92" s="57"/>
      <c r="E92" s="58"/>
      <c r="F92" s="38"/>
      <c r="G92" s="39"/>
    </row>
    <row r="93" spans="1:7" s="25" customFormat="1" ht="17.399999999999999" customHeight="1" x14ac:dyDescent="0.2">
      <c r="A93" s="19">
        <v>6</v>
      </c>
      <c r="B93" s="66" t="s">
        <v>100</v>
      </c>
      <c r="C93" s="56"/>
      <c r="D93" s="57"/>
      <c r="E93" s="58"/>
      <c r="F93" s="58"/>
      <c r="G93" s="59"/>
    </row>
    <row r="94" spans="1:7" s="25" customFormat="1" ht="19.2" customHeight="1" x14ac:dyDescent="0.2">
      <c r="A94" s="26">
        <f>+A93+0.01</f>
        <v>6.01</v>
      </c>
      <c r="B94" s="61" t="s">
        <v>101</v>
      </c>
      <c r="C94" s="46">
        <f>(1.8+0.55+2.65+0.15+1+2.65+2.4)*2*2.5</f>
        <v>56.000000000000007</v>
      </c>
      <c r="D94" s="47" t="s">
        <v>16</v>
      </c>
      <c r="E94" s="48"/>
      <c r="F94" s="51">
        <f>+ROUND((C94*E94),2)</f>
        <v>0</v>
      </c>
      <c r="G94" s="62"/>
    </row>
    <row r="95" spans="1:7" s="25" customFormat="1" ht="31.2" customHeight="1" x14ac:dyDescent="0.2">
      <c r="A95" s="26">
        <f>+A94+0.01</f>
        <v>6.02</v>
      </c>
      <c r="B95" s="27" t="s">
        <v>102</v>
      </c>
      <c r="C95" s="46">
        <f>(2.2+0.24+1.2+3+0.64+0.95)*2*2.5</f>
        <v>41.150000000000006</v>
      </c>
      <c r="D95" s="47" t="s">
        <v>16</v>
      </c>
      <c r="E95" s="48"/>
      <c r="F95" s="51">
        <f>+ROUND((C95*E95),2)</f>
        <v>0</v>
      </c>
      <c r="G95" s="39"/>
    </row>
    <row r="96" spans="1:7" s="25" customFormat="1" ht="19.2" customHeight="1" x14ac:dyDescent="0.2">
      <c r="A96" s="26">
        <f>+A95+0.01</f>
        <v>6.0299999999999994</v>
      </c>
      <c r="B96" s="61" t="s">
        <v>103</v>
      </c>
      <c r="C96" s="46">
        <f>+(9.3+0.6)*1.2</f>
        <v>11.88</v>
      </c>
      <c r="D96" s="47" t="s">
        <v>16</v>
      </c>
      <c r="E96" s="48"/>
      <c r="F96" s="51">
        <f>+ROUND((C96*E96),2)</f>
        <v>0</v>
      </c>
      <c r="G96" s="39"/>
    </row>
    <row r="97" spans="1:7" s="25" customFormat="1" ht="19.2" customHeight="1" x14ac:dyDescent="0.2">
      <c r="A97" s="26">
        <f>+A96+0.01</f>
        <v>6.0399999999999991</v>
      </c>
      <c r="B97" s="61" t="s">
        <v>104</v>
      </c>
      <c r="C97" s="46">
        <f>(6.51+0.7+7.6+5.2)*3.2</f>
        <v>64.031999999999996</v>
      </c>
      <c r="D97" s="47" t="s">
        <v>16</v>
      </c>
      <c r="E97" s="48"/>
      <c r="F97" s="51">
        <f>+ROUND((C97*E97),2)</f>
        <v>0</v>
      </c>
      <c r="G97" s="53">
        <f>SUM(F94:F97)</f>
        <v>0</v>
      </c>
    </row>
    <row r="98" spans="1:7" s="25" customFormat="1" x14ac:dyDescent="0.2">
      <c r="A98" s="63"/>
      <c r="B98" s="64"/>
      <c r="C98" s="65"/>
      <c r="D98" s="57"/>
      <c r="E98" s="58"/>
      <c r="F98" s="38"/>
      <c r="G98" s="39"/>
    </row>
    <row r="99" spans="1:7" ht="18.600000000000001" customHeight="1" x14ac:dyDescent="0.2">
      <c r="A99" s="19">
        <v>7</v>
      </c>
      <c r="B99" s="66" t="s">
        <v>105</v>
      </c>
      <c r="G99" s="67"/>
    </row>
    <row r="100" spans="1:7" ht="27.6" customHeight="1" x14ac:dyDescent="0.2">
      <c r="A100" s="40">
        <f>+A99+0.01</f>
        <v>7.01</v>
      </c>
      <c r="B100" s="61" t="s">
        <v>106</v>
      </c>
      <c r="C100" s="50">
        <f>+[1]VOLUMETRIA!I289</f>
        <v>267.42450000000002</v>
      </c>
      <c r="D100" s="47" t="s">
        <v>16</v>
      </c>
      <c r="E100" s="51"/>
      <c r="F100" s="51">
        <f>+ROUND((C100*E100),2)</f>
        <v>0</v>
      </c>
      <c r="G100" s="67"/>
    </row>
    <row r="101" spans="1:7" ht="24.6" customHeight="1" x14ac:dyDescent="0.2">
      <c r="A101" s="40">
        <f>+A100+0.01</f>
        <v>7.02</v>
      </c>
      <c r="B101" s="61" t="s">
        <v>107</v>
      </c>
      <c r="C101" s="50">
        <f>+[1]VOLUMETRIA!E291</f>
        <v>59.224000000000004</v>
      </c>
      <c r="D101" s="47" t="s">
        <v>93</v>
      </c>
      <c r="E101" s="51"/>
      <c r="F101" s="51">
        <f t="shared" ref="F101:F111" si="13">+ROUND((C101*E101),2)</f>
        <v>0</v>
      </c>
      <c r="G101" s="67"/>
    </row>
    <row r="102" spans="1:7" ht="19.8" customHeight="1" x14ac:dyDescent="0.2">
      <c r="A102" s="40">
        <f>+A101+0.01</f>
        <v>7.0299999999999994</v>
      </c>
      <c r="B102" s="61" t="s">
        <v>108</v>
      </c>
      <c r="C102" s="50">
        <f>+[1]VOLUMETRIA!I412</f>
        <v>8.6</v>
      </c>
      <c r="D102" s="47" t="s">
        <v>16</v>
      </c>
      <c r="E102" s="51"/>
      <c r="F102" s="51">
        <f t="shared" si="13"/>
        <v>0</v>
      </c>
      <c r="G102" s="67"/>
    </row>
    <row r="103" spans="1:7" ht="19.8" customHeight="1" x14ac:dyDescent="0.2">
      <c r="A103" s="40">
        <f t="shared" ref="A103:A110" si="14">+A102+0.01</f>
        <v>7.0399999999999991</v>
      </c>
      <c r="B103" s="61" t="s">
        <v>109</v>
      </c>
      <c r="C103" s="50">
        <f>6.51+0.7+7.6+3.2+1.6+1.15+1.18+1.1+4+0.64</f>
        <v>27.68</v>
      </c>
      <c r="D103" s="47" t="s">
        <v>93</v>
      </c>
      <c r="E103" s="51"/>
      <c r="F103" s="51">
        <f t="shared" si="13"/>
        <v>0</v>
      </c>
      <c r="G103" s="67"/>
    </row>
    <row r="104" spans="1:7" ht="19.8" customHeight="1" x14ac:dyDescent="0.2">
      <c r="A104" s="40">
        <f t="shared" si="14"/>
        <v>7.0499999999999989</v>
      </c>
      <c r="B104" s="61" t="s">
        <v>110</v>
      </c>
      <c r="C104" s="50">
        <f>+[1]VOLUMETRIA!F305</f>
        <v>108.71999999999998</v>
      </c>
      <c r="D104" s="47" t="s">
        <v>16</v>
      </c>
      <c r="E104" s="51"/>
      <c r="F104" s="51">
        <f t="shared" si="13"/>
        <v>0</v>
      </c>
      <c r="G104" s="67"/>
    </row>
    <row r="105" spans="1:7" ht="19.8" customHeight="1" x14ac:dyDescent="0.2">
      <c r="A105" s="40">
        <f t="shared" si="14"/>
        <v>7.0599999999999987</v>
      </c>
      <c r="B105" s="61" t="s">
        <v>111</v>
      </c>
      <c r="C105" s="50">
        <f>8.11+8.96+13.54+4.35</f>
        <v>34.96</v>
      </c>
      <c r="D105" s="47" t="s">
        <v>16</v>
      </c>
      <c r="E105" s="51"/>
      <c r="F105" s="51">
        <f t="shared" si="13"/>
        <v>0</v>
      </c>
      <c r="G105" s="67"/>
    </row>
    <row r="106" spans="1:7" ht="19.8" customHeight="1" x14ac:dyDescent="0.2">
      <c r="A106" s="40">
        <f t="shared" si="14"/>
        <v>7.0699999999999985</v>
      </c>
      <c r="B106" s="61" t="s">
        <v>112</v>
      </c>
      <c r="C106" s="50">
        <v>30.81</v>
      </c>
      <c r="D106" s="47" t="s">
        <v>16</v>
      </c>
      <c r="E106" s="51"/>
      <c r="F106" s="51">
        <f t="shared" si="13"/>
        <v>0</v>
      </c>
      <c r="G106" s="67"/>
    </row>
    <row r="107" spans="1:7" ht="19.8" customHeight="1" x14ac:dyDescent="0.2">
      <c r="A107" s="40">
        <f t="shared" si="14"/>
        <v>7.0799999999999983</v>
      </c>
      <c r="B107" s="61" t="s">
        <v>113</v>
      </c>
      <c r="C107" s="50">
        <f>10.3*2</f>
        <v>20.6</v>
      </c>
      <c r="D107" s="47" t="s">
        <v>16</v>
      </c>
      <c r="E107" s="51"/>
      <c r="F107" s="51">
        <f t="shared" si="13"/>
        <v>0</v>
      </c>
      <c r="G107" s="67"/>
    </row>
    <row r="108" spans="1:7" ht="19.8" customHeight="1" x14ac:dyDescent="0.2">
      <c r="A108" s="40">
        <f t="shared" si="14"/>
        <v>7.0899999999999981</v>
      </c>
      <c r="B108" s="61" t="s">
        <v>114</v>
      </c>
      <c r="C108" s="50">
        <f>11.3+11.3+3*1.4*2</f>
        <v>31</v>
      </c>
      <c r="D108" s="47" t="s">
        <v>16</v>
      </c>
      <c r="E108" s="51"/>
      <c r="F108" s="51">
        <f t="shared" si="13"/>
        <v>0</v>
      </c>
      <c r="G108" s="67"/>
    </row>
    <row r="109" spans="1:7" ht="19.8" customHeight="1" x14ac:dyDescent="0.2">
      <c r="A109" s="40">
        <f t="shared" si="14"/>
        <v>7.0999999999999979</v>
      </c>
      <c r="B109" s="61" t="s">
        <v>115</v>
      </c>
      <c r="C109" s="50">
        <f>2.25*2.25</f>
        <v>5.0625</v>
      </c>
      <c r="D109" s="47" t="s">
        <v>16</v>
      </c>
      <c r="E109" s="51"/>
      <c r="F109" s="51">
        <f t="shared" si="13"/>
        <v>0</v>
      </c>
      <c r="G109" s="67"/>
    </row>
    <row r="110" spans="1:7" ht="19.8" customHeight="1" x14ac:dyDescent="0.2">
      <c r="A110" s="40">
        <f t="shared" si="14"/>
        <v>7.1099999999999977</v>
      </c>
      <c r="B110" s="61" t="s">
        <v>116</v>
      </c>
      <c r="C110" s="50">
        <v>189.35</v>
      </c>
      <c r="D110" s="47" t="s">
        <v>93</v>
      </c>
      <c r="E110" s="51"/>
      <c r="F110" s="51">
        <f t="shared" si="13"/>
        <v>0</v>
      </c>
      <c r="G110" s="67"/>
    </row>
    <row r="111" spans="1:7" ht="19.8" customHeight="1" x14ac:dyDescent="0.2">
      <c r="A111" s="40">
        <f>+A110+0.01</f>
        <v>7.1199999999999974</v>
      </c>
      <c r="B111" s="61" t="s">
        <v>117</v>
      </c>
      <c r="C111" s="50">
        <v>20.6</v>
      </c>
      <c r="D111" s="47" t="s">
        <v>16</v>
      </c>
      <c r="E111" s="51"/>
      <c r="F111" s="51">
        <f t="shared" si="13"/>
        <v>0</v>
      </c>
      <c r="G111" s="67"/>
    </row>
    <row r="112" spans="1:7" ht="19.8" customHeight="1" x14ac:dyDescent="0.2">
      <c r="A112" s="40"/>
      <c r="B112" s="45"/>
      <c r="C112" s="50"/>
      <c r="D112" s="47"/>
      <c r="E112" s="51"/>
      <c r="F112" s="51"/>
      <c r="G112" s="53">
        <f>SUM(F100:F112)</f>
        <v>0</v>
      </c>
    </row>
    <row r="113" spans="1:7" x14ac:dyDescent="0.2">
      <c r="A113" s="68"/>
      <c r="B113" s="64"/>
      <c r="C113" s="37"/>
      <c r="E113" s="38"/>
      <c r="F113" s="38"/>
      <c r="G113" s="39"/>
    </row>
    <row r="114" spans="1:7" ht="19.2" customHeight="1" x14ac:dyDescent="0.2">
      <c r="A114" s="55">
        <v>8</v>
      </c>
      <c r="B114" s="66" t="s">
        <v>118</v>
      </c>
      <c r="G114" s="67"/>
    </row>
    <row r="115" spans="1:7" ht="29.4" customHeight="1" x14ac:dyDescent="0.2">
      <c r="A115" s="40">
        <f>+A114+0.01</f>
        <v>8.01</v>
      </c>
      <c r="B115" s="45" t="s">
        <v>119</v>
      </c>
      <c r="C115" s="50">
        <v>1</v>
      </c>
      <c r="D115" s="52" t="s">
        <v>120</v>
      </c>
      <c r="E115" s="51"/>
      <c r="F115" s="51">
        <f t="shared" ref="F115:F126" si="15">+ROUND((C115*E115),2)</f>
        <v>0</v>
      </c>
      <c r="G115" s="67"/>
    </row>
    <row r="116" spans="1:7" ht="29.4" customHeight="1" x14ac:dyDescent="0.2">
      <c r="A116" s="40">
        <f t="shared" ref="A116:A126" si="16">+A115+0.01</f>
        <v>8.02</v>
      </c>
      <c r="B116" s="45" t="s">
        <v>121</v>
      </c>
      <c r="C116" s="50">
        <v>1</v>
      </c>
      <c r="D116" s="52" t="s">
        <v>98</v>
      </c>
      <c r="E116" s="51"/>
      <c r="F116" s="51">
        <f t="shared" si="15"/>
        <v>0</v>
      </c>
      <c r="G116" s="67"/>
    </row>
    <row r="117" spans="1:7" ht="29.4" customHeight="1" x14ac:dyDescent="0.2">
      <c r="A117" s="40">
        <f t="shared" si="16"/>
        <v>8.0299999999999994</v>
      </c>
      <c r="B117" s="45" t="s">
        <v>122</v>
      </c>
      <c r="C117" s="50">
        <v>1</v>
      </c>
      <c r="D117" s="52" t="s">
        <v>98</v>
      </c>
      <c r="E117" s="51"/>
      <c r="F117" s="51">
        <f t="shared" si="15"/>
        <v>0</v>
      </c>
      <c r="G117" s="67"/>
    </row>
    <row r="118" spans="1:7" ht="28.8" customHeight="1" x14ac:dyDescent="0.2">
      <c r="A118" s="40">
        <f t="shared" si="16"/>
        <v>8.0399999999999991</v>
      </c>
      <c r="B118" s="45" t="s">
        <v>123</v>
      </c>
      <c r="C118" s="50">
        <v>4</v>
      </c>
      <c r="D118" s="52" t="s">
        <v>120</v>
      </c>
      <c r="E118" s="51"/>
      <c r="F118" s="51">
        <f t="shared" si="15"/>
        <v>0</v>
      </c>
      <c r="G118" s="67"/>
    </row>
    <row r="119" spans="1:7" ht="28.8" customHeight="1" x14ac:dyDescent="0.2">
      <c r="A119" s="40">
        <f>+A118+0.01</f>
        <v>8.0499999999999989</v>
      </c>
      <c r="B119" s="45" t="s">
        <v>124</v>
      </c>
      <c r="C119" s="50">
        <v>1</v>
      </c>
      <c r="D119" s="52" t="s">
        <v>120</v>
      </c>
      <c r="E119" s="51"/>
      <c r="F119" s="51">
        <f t="shared" si="15"/>
        <v>0</v>
      </c>
      <c r="G119" s="67"/>
    </row>
    <row r="120" spans="1:7" ht="28.8" customHeight="1" x14ac:dyDescent="0.2">
      <c r="A120" s="40">
        <f t="shared" si="16"/>
        <v>8.0599999999999987</v>
      </c>
      <c r="B120" s="45" t="s">
        <v>125</v>
      </c>
      <c r="C120" s="50">
        <v>1</v>
      </c>
      <c r="D120" s="52" t="s">
        <v>120</v>
      </c>
      <c r="E120" s="51"/>
      <c r="F120" s="51">
        <f t="shared" si="15"/>
        <v>0</v>
      </c>
      <c r="G120" s="67"/>
    </row>
    <row r="121" spans="1:7" ht="28.8" customHeight="1" x14ac:dyDescent="0.2">
      <c r="A121" s="40">
        <f t="shared" si="16"/>
        <v>8.0699999999999985</v>
      </c>
      <c r="B121" s="45" t="s">
        <v>126</v>
      </c>
      <c r="C121" s="50">
        <v>3</v>
      </c>
      <c r="D121" s="52" t="s">
        <v>120</v>
      </c>
      <c r="E121" s="51"/>
      <c r="F121" s="51">
        <f t="shared" si="15"/>
        <v>0</v>
      </c>
      <c r="G121" s="67"/>
    </row>
    <row r="122" spans="1:7" ht="28.8" customHeight="1" x14ac:dyDescent="0.2">
      <c r="A122" s="40">
        <f t="shared" si="16"/>
        <v>8.0799999999999983</v>
      </c>
      <c r="B122" s="61" t="s">
        <v>127</v>
      </c>
      <c r="C122" s="50">
        <v>1</v>
      </c>
      <c r="D122" s="52" t="s">
        <v>120</v>
      </c>
      <c r="E122" s="51"/>
      <c r="F122" s="51">
        <f t="shared" si="15"/>
        <v>0</v>
      </c>
      <c r="G122" s="67"/>
    </row>
    <row r="123" spans="1:7" ht="28.8" customHeight="1" x14ac:dyDescent="0.2">
      <c r="A123" s="40">
        <f>+A122+0.01</f>
        <v>8.0899999999999981</v>
      </c>
      <c r="B123" s="45" t="s">
        <v>128</v>
      </c>
      <c r="C123" s="50">
        <v>2</v>
      </c>
      <c r="D123" s="52" t="s">
        <v>120</v>
      </c>
      <c r="E123" s="51"/>
      <c r="F123" s="51">
        <f t="shared" si="15"/>
        <v>0</v>
      </c>
      <c r="G123" s="67"/>
    </row>
    <row r="124" spans="1:7" ht="28.8" customHeight="1" x14ac:dyDescent="0.2">
      <c r="A124" s="40">
        <f t="shared" si="16"/>
        <v>8.0999999999999979</v>
      </c>
      <c r="B124" s="45" t="s">
        <v>129</v>
      </c>
      <c r="C124" s="50">
        <v>1</v>
      </c>
      <c r="D124" s="52" t="s">
        <v>120</v>
      </c>
      <c r="E124" s="51"/>
      <c r="F124" s="51">
        <f t="shared" si="15"/>
        <v>0</v>
      </c>
      <c r="G124" s="67"/>
    </row>
    <row r="125" spans="1:7" ht="28.8" customHeight="1" x14ac:dyDescent="0.2">
      <c r="A125" s="40">
        <f t="shared" si="16"/>
        <v>8.1099999999999977</v>
      </c>
      <c r="B125" s="61" t="s">
        <v>130</v>
      </c>
      <c r="C125" s="50">
        <v>4</v>
      </c>
      <c r="D125" s="52" t="s">
        <v>120</v>
      </c>
      <c r="E125" s="51"/>
      <c r="F125" s="51">
        <f t="shared" si="15"/>
        <v>0</v>
      </c>
      <c r="G125" s="67"/>
    </row>
    <row r="126" spans="1:7" ht="28.8" customHeight="1" x14ac:dyDescent="0.2">
      <c r="A126" s="40">
        <f t="shared" si="16"/>
        <v>8.1199999999999974</v>
      </c>
      <c r="B126" s="27" t="s">
        <v>131</v>
      </c>
      <c r="C126" s="50">
        <f>6.97+2.78+2.41</f>
        <v>12.16</v>
      </c>
      <c r="D126" s="52" t="s">
        <v>93</v>
      </c>
      <c r="E126" s="51"/>
      <c r="F126" s="51">
        <f t="shared" si="15"/>
        <v>0</v>
      </c>
      <c r="G126" s="67"/>
    </row>
    <row r="127" spans="1:7" ht="18" customHeight="1" x14ac:dyDescent="0.2">
      <c r="A127" s="40"/>
      <c r="B127" s="45"/>
      <c r="C127" s="50"/>
      <c r="D127" s="52"/>
      <c r="E127" s="51"/>
      <c r="F127" s="51"/>
      <c r="G127" s="53">
        <f>SUM(F115:F127)</f>
        <v>0</v>
      </c>
    </row>
    <row r="128" spans="1:7" ht="20.399999999999999" customHeight="1" x14ac:dyDescent="0.2">
      <c r="A128" s="55">
        <v>9</v>
      </c>
      <c r="B128" s="66" t="s">
        <v>132</v>
      </c>
      <c r="G128" s="67"/>
    </row>
    <row r="129" spans="1:7" ht="31.2" customHeight="1" x14ac:dyDescent="0.2">
      <c r="A129" s="69">
        <f>+A128+0.01</f>
        <v>9.01</v>
      </c>
      <c r="B129" s="45" t="s">
        <v>133</v>
      </c>
      <c r="C129" s="50">
        <f>17*1.2*1.7*3.28*3.28*1.05</f>
        <v>391.75637759999995</v>
      </c>
      <c r="D129" s="52" t="s">
        <v>134</v>
      </c>
      <c r="E129" s="51"/>
      <c r="F129" s="51">
        <f>+ROUND((C129*E129),2)</f>
        <v>0</v>
      </c>
      <c r="G129" s="67"/>
    </row>
    <row r="130" spans="1:7" ht="25.2" customHeight="1" x14ac:dyDescent="0.2">
      <c r="A130" s="69">
        <f t="shared" ref="A130:A133" si="17">+A129+0.01</f>
        <v>9.02</v>
      </c>
      <c r="B130" s="45" t="s">
        <v>135</v>
      </c>
      <c r="C130" s="50">
        <f>1.45*1.7*3.28*3.28*1.05</f>
        <v>27.845428799999997</v>
      </c>
      <c r="D130" s="52" t="s">
        <v>134</v>
      </c>
      <c r="E130" s="51"/>
      <c r="F130" s="51">
        <f>+ROUND((C130*E130),2)</f>
        <v>0</v>
      </c>
      <c r="G130" s="67"/>
    </row>
    <row r="131" spans="1:7" ht="31.8" customHeight="1" x14ac:dyDescent="0.2">
      <c r="A131" s="69">
        <f t="shared" si="17"/>
        <v>9.0299999999999994</v>
      </c>
      <c r="B131" s="45" t="s">
        <v>136</v>
      </c>
      <c r="C131" s="50">
        <f>2.5*1.7*3.28*3.28*1.05</f>
        <v>48.009360000000001</v>
      </c>
      <c r="D131" s="52" t="s">
        <v>134</v>
      </c>
      <c r="E131" s="51"/>
      <c r="F131" s="51">
        <f>+ROUND((C131*E131),2)</f>
        <v>0</v>
      </c>
      <c r="G131" s="67"/>
    </row>
    <row r="132" spans="1:7" ht="30" customHeight="1" x14ac:dyDescent="0.2">
      <c r="A132" s="69">
        <f t="shared" si="17"/>
        <v>9.0399999999999991</v>
      </c>
      <c r="B132" s="45" t="s">
        <v>137</v>
      </c>
      <c r="C132" s="50">
        <f>4*1.2*0.7*3.28*3.28*1.05</f>
        <v>37.955635200000003</v>
      </c>
      <c r="D132" s="52" t="s">
        <v>134</v>
      </c>
      <c r="E132" s="51"/>
      <c r="F132" s="51">
        <f>+ROUND((C132*E132),2)</f>
        <v>0</v>
      </c>
      <c r="G132" s="67"/>
    </row>
    <row r="133" spans="1:7" ht="18.600000000000001" customHeight="1" x14ac:dyDescent="0.2">
      <c r="A133" s="69">
        <f t="shared" si="17"/>
        <v>9.0499999999999989</v>
      </c>
      <c r="B133" s="61" t="s">
        <v>138</v>
      </c>
      <c r="C133" s="50">
        <f>1.2*1.7*3.28*3.28</f>
        <v>21.947135999999997</v>
      </c>
      <c r="D133" s="52" t="s">
        <v>134</v>
      </c>
      <c r="E133" s="51"/>
      <c r="F133" s="51">
        <f>+ROUND((C133*E133),2)</f>
        <v>0</v>
      </c>
      <c r="G133" s="67"/>
    </row>
    <row r="134" spans="1:7" ht="19.2" customHeight="1" x14ac:dyDescent="0.2">
      <c r="A134" s="69"/>
      <c r="B134" s="45"/>
      <c r="C134" s="50"/>
      <c r="D134" s="52"/>
      <c r="E134" s="51"/>
      <c r="F134" s="51"/>
      <c r="G134" s="53">
        <f>SUM(F129:F134)</f>
        <v>0</v>
      </c>
    </row>
    <row r="135" spans="1:7" x14ac:dyDescent="0.2">
      <c r="A135" s="68"/>
      <c r="B135" s="64"/>
      <c r="C135" s="37"/>
      <c r="E135" s="38"/>
      <c r="F135" s="38"/>
      <c r="G135" s="39"/>
    </row>
    <row r="136" spans="1:7" ht="20.399999999999999" customHeight="1" x14ac:dyDescent="0.2">
      <c r="A136" s="19">
        <v>10</v>
      </c>
      <c r="B136" s="66" t="s">
        <v>139</v>
      </c>
      <c r="G136" s="67"/>
    </row>
    <row r="137" spans="1:7" ht="42.6" customHeight="1" x14ac:dyDescent="0.2">
      <c r="A137" s="40">
        <f>+A136+0.01</f>
        <v>10.01</v>
      </c>
      <c r="B137" s="45" t="s">
        <v>140</v>
      </c>
      <c r="C137" s="50">
        <v>6</v>
      </c>
      <c r="D137" s="52" t="s">
        <v>98</v>
      </c>
      <c r="E137" s="51"/>
      <c r="F137" s="51">
        <f>+ROUND((C137*E137),2)</f>
        <v>0</v>
      </c>
      <c r="G137" s="70"/>
    </row>
    <row r="138" spans="1:7" ht="33.6" customHeight="1" x14ac:dyDescent="0.2">
      <c r="A138" s="40">
        <f t="shared" ref="A138:A148" si="18">+A137+0.01</f>
        <v>10.02</v>
      </c>
      <c r="B138" s="45" t="s">
        <v>141</v>
      </c>
      <c r="C138" s="50">
        <v>1</v>
      </c>
      <c r="D138" s="52" t="s">
        <v>98</v>
      </c>
      <c r="E138" s="51"/>
      <c r="F138" s="51">
        <f t="shared" ref="F138:F148" si="19">+ROUND((C138*E138),2)</f>
        <v>0</v>
      </c>
      <c r="G138" s="70"/>
    </row>
    <row r="139" spans="1:7" ht="31.2" customHeight="1" x14ac:dyDescent="0.2">
      <c r="A139" s="40">
        <f t="shared" si="18"/>
        <v>10.029999999999999</v>
      </c>
      <c r="B139" s="45" t="s">
        <v>142</v>
      </c>
      <c r="C139" s="50">
        <v>1</v>
      </c>
      <c r="D139" s="52" t="s">
        <v>98</v>
      </c>
      <c r="E139" s="51"/>
      <c r="F139" s="51">
        <f t="shared" si="19"/>
        <v>0</v>
      </c>
      <c r="G139" s="70"/>
    </row>
    <row r="140" spans="1:7" ht="72.599999999999994" customHeight="1" x14ac:dyDescent="0.2">
      <c r="A140" s="40">
        <f t="shared" si="18"/>
        <v>10.039999999999999</v>
      </c>
      <c r="B140" s="45" t="s">
        <v>143</v>
      </c>
      <c r="C140" s="50">
        <v>2</v>
      </c>
      <c r="D140" s="52" t="s">
        <v>98</v>
      </c>
      <c r="E140" s="51"/>
      <c r="F140" s="51">
        <f t="shared" si="19"/>
        <v>0</v>
      </c>
      <c r="G140" s="70"/>
    </row>
    <row r="141" spans="1:7" ht="33" customHeight="1" x14ac:dyDescent="0.2">
      <c r="A141" s="40">
        <f t="shared" si="18"/>
        <v>10.049999999999999</v>
      </c>
      <c r="B141" s="45" t="s">
        <v>144</v>
      </c>
      <c r="C141" s="50">
        <v>1</v>
      </c>
      <c r="D141" s="52" t="s">
        <v>98</v>
      </c>
      <c r="E141" s="51"/>
      <c r="F141" s="51">
        <f t="shared" si="19"/>
        <v>0</v>
      </c>
      <c r="G141" s="70"/>
    </row>
    <row r="142" spans="1:7" ht="33" customHeight="1" x14ac:dyDescent="0.2">
      <c r="A142" s="40">
        <f t="shared" si="18"/>
        <v>10.059999999999999</v>
      </c>
      <c r="B142" s="45" t="s">
        <v>145</v>
      </c>
      <c r="C142" s="50">
        <v>1</v>
      </c>
      <c r="D142" s="52" t="s">
        <v>98</v>
      </c>
      <c r="E142" s="51"/>
      <c r="F142" s="51">
        <f>+ROUND((C142*E142),2)</f>
        <v>0</v>
      </c>
      <c r="G142" s="70"/>
    </row>
    <row r="143" spans="1:7" ht="46.2" customHeight="1" x14ac:dyDescent="0.2">
      <c r="A143" s="40">
        <f t="shared" si="18"/>
        <v>10.069999999999999</v>
      </c>
      <c r="B143" s="45" t="s">
        <v>146</v>
      </c>
      <c r="C143" s="50">
        <v>1</v>
      </c>
      <c r="D143" s="52" t="s">
        <v>98</v>
      </c>
      <c r="E143" s="51"/>
      <c r="F143" s="51">
        <f t="shared" si="19"/>
        <v>0</v>
      </c>
      <c r="G143" s="70"/>
    </row>
    <row r="144" spans="1:7" ht="135" customHeight="1" x14ac:dyDescent="0.2">
      <c r="A144" s="40">
        <f>+A143+0.01</f>
        <v>10.079999999999998</v>
      </c>
      <c r="B144" s="45" t="s">
        <v>147</v>
      </c>
      <c r="C144" s="50">
        <v>1</v>
      </c>
      <c r="D144" s="52" t="s">
        <v>98</v>
      </c>
      <c r="E144" s="51"/>
      <c r="F144" s="51">
        <f t="shared" si="19"/>
        <v>0</v>
      </c>
      <c r="G144" s="70"/>
    </row>
    <row r="145" spans="1:7" ht="165" customHeight="1" x14ac:dyDescent="0.2">
      <c r="A145" s="40">
        <f t="shared" si="18"/>
        <v>10.089999999999998</v>
      </c>
      <c r="B145" s="45" t="s">
        <v>148</v>
      </c>
      <c r="C145" s="50">
        <v>1</v>
      </c>
      <c r="D145" s="52" t="s">
        <v>98</v>
      </c>
      <c r="E145" s="51"/>
      <c r="F145" s="51">
        <f t="shared" si="19"/>
        <v>0</v>
      </c>
      <c r="G145" s="70"/>
    </row>
    <row r="146" spans="1:7" ht="28.2" customHeight="1" x14ac:dyDescent="0.2">
      <c r="A146" s="40">
        <f>+A145+0.01</f>
        <v>10.099999999999998</v>
      </c>
      <c r="B146" s="45" t="s">
        <v>149</v>
      </c>
      <c r="C146" s="50">
        <v>1</v>
      </c>
      <c r="D146" s="52" t="s">
        <v>150</v>
      </c>
      <c r="E146" s="51"/>
      <c r="F146" s="51">
        <f t="shared" si="19"/>
        <v>0</v>
      </c>
      <c r="G146" s="70"/>
    </row>
    <row r="147" spans="1:7" ht="42" customHeight="1" x14ac:dyDescent="0.2">
      <c r="A147" s="40">
        <f t="shared" si="18"/>
        <v>10.109999999999998</v>
      </c>
      <c r="B147" s="45" t="s">
        <v>151</v>
      </c>
      <c r="C147" s="50">
        <v>1</v>
      </c>
      <c r="D147" s="52" t="s">
        <v>98</v>
      </c>
      <c r="E147" s="51"/>
      <c r="F147" s="51">
        <f t="shared" si="19"/>
        <v>0</v>
      </c>
      <c r="G147" s="70"/>
    </row>
    <row r="148" spans="1:7" ht="28.2" customHeight="1" x14ac:dyDescent="0.2">
      <c r="A148" s="40">
        <f t="shared" si="18"/>
        <v>10.119999999999997</v>
      </c>
      <c r="B148" s="27" t="s">
        <v>152</v>
      </c>
      <c r="C148" s="50">
        <v>15</v>
      </c>
      <c r="D148" s="52" t="s">
        <v>93</v>
      </c>
      <c r="E148" s="51"/>
      <c r="F148" s="51">
        <f t="shared" si="19"/>
        <v>0</v>
      </c>
      <c r="G148" s="70"/>
    </row>
    <row r="149" spans="1:7" ht="19.2" customHeight="1" x14ac:dyDescent="0.2">
      <c r="A149" s="40"/>
      <c r="B149" s="61"/>
      <c r="C149" s="50"/>
      <c r="D149" s="52"/>
      <c r="E149" s="51"/>
      <c r="F149" s="51"/>
      <c r="G149" s="53">
        <f>SUM(F137:F149)</f>
        <v>0</v>
      </c>
    </row>
    <row r="150" spans="1:7" x14ac:dyDescent="0.2">
      <c r="A150" s="68"/>
      <c r="B150" s="71"/>
      <c r="C150" s="37"/>
      <c r="E150" s="38"/>
      <c r="F150" s="38"/>
      <c r="G150" s="39"/>
    </row>
    <row r="151" spans="1:7" ht="18.600000000000001" customHeight="1" x14ac:dyDescent="0.2">
      <c r="A151" s="55">
        <v>11</v>
      </c>
      <c r="B151" s="66" t="s">
        <v>153</v>
      </c>
      <c r="G151" s="67"/>
    </row>
    <row r="152" spans="1:7" ht="23.4" customHeight="1" x14ac:dyDescent="0.2">
      <c r="A152" s="72">
        <f>+A151+0.01</f>
        <v>11.01</v>
      </c>
      <c r="B152" s="45" t="s">
        <v>154</v>
      </c>
      <c r="C152" s="50">
        <v>6</v>
      </c>
      <c r="D152" s="52" t="s">
        <v>120</v>
      </c>
      <c r="E152" s="51"/>
      <c r="F152" s="51">
        <f>+ROUND((C152*E152),2)</f>
        <v>0</v>
      </c>
      <c r="G152" s="67"/>
    </row>
    <row r="153" spans="1:7" ht="25.2" x14ac:dyDescent="0.2">
      <c r="A153" s="72">
        <f>+A152+0.01</f>
        <v>11.02</v>
      </c>
      <c r="B153" s="45" t="s">
        <v>155</v>
      </c>
      <c r="C153" s="50">
        <v>7</v>
      </c>
      <c r="D153" s="52" t="s">
        <v>16</v>
      </c>
      <c r="E153" s="51"/>
      <c r="F153" s="51">
        <f>+ROUND((C153*E153),2)</f>
        <v>0</v>
      </c>
      <c r="G153" s="53">
        <f>SUM(F152:F153)</f>
        <v>0</v>
      </c>
    </row>
    <row r="154" spans="1:7" x14ac:dyDescent="0.2">
      <c r="A154" s="68"/>
      <c r="B154" s="64"/>
      <c r="C154" s="37"/>
      <c r="E154" s="38"/>
      <c r="F154" s="38"/>
      <c r="G154" s="39"/>
    </row>
    <row r="155" spans="1:7" ht="15" customHeight="1" x14ac:dyDescent="0.2">
      <c r="A155" s="19">
        <v>12</v>
      </c>
      <c r="B155" s="66" t="s">
        <v>156</v>
      </c>
      <c r="G155" s="67"/>
    </row>
    <row r="156" spans="1:7" s="25" customFormat="1" ht="30" customHeight="1" x14ac:dyDescent="0.2">
      <c r="A156" s="72">
        <f>+A155+0.01</f>
        <v>12.01</v>
      </c>
      <c r="B156" s="44" t="s">
        <v>157</v>
      </c>
      <c r="C156" s="50">
        <v>7</v>
      </c>
      <c r="D156" s="52" t="s">
        <v>120</v>
      </c>
      <c r="E156" s="51"/>
      <c r="F156" s="51">
        <f t="shared" ref="F156:F182" si="20">+ROUND((C156*E156),2)</f>
        <v>0</v>
      </c>
      <c r="G156" s="73"/>
    </row>
    <row r="157" spans="1:7" s="25" customFormat="1" ht="27.6" customHeight="1" x14ac:dyDescent="0.2">
      <c r="A157" s="72">
        <f t="shared" ref="A157:A184" si="21">+A156+0.01</f>
        <v>12.02</v>
      </c>
      <c r="B157" s="44" t="s">
        <v>158</v>
      </c>
      <c r="C157" s="50">
        <v>5</v>
      </c>
      <c r="D157" s="52" t="s">
        <v>120</v>
      </c>
      <c r="E157" s="51"/>
      <c r="F157" s="51">
        <f t="shared" si="20"/>
        <v>0</v>
      </c>
      <c r="G157" s="73"/>
    </row>
    <row r="158" spans="1:7" s="25" customFormat="1" ht="22.2" customHeight="1" x14ac:dyDescent="0.2">
      <c r="A158" s="72">
        <f t="shared" si="21"/>
        <v>12.03</v>
      </c>
      <c r="B158" s="41" t="s">
        <v>159</v>
      </c>
      <c r="C158" s="50">
        <v>2</v>
      </c>
      <c r="D158" s="52" t="s">
        <v>120</v>
      </c>
      <c r="E158" s="51"/>
      <c r="F158" s="51">
        <f t="shared" si="20"/>
        <v>0</v>
      </c>
      <c r="G158" s="73"/>
    </row>
    <row r="159" spans="1:7" s="25" customFormat="1" ht="20.399999999999999" customHeight="1" x14ac:dyDescent="0.2">
      <c r="A159" s="72">
        <f t="shared" si="21"/>
        <v>12.04</v>
      </c>
      <c r="B159" s="41" t="s">
        <v>160</v>
      </c>
      <c r="C159" s="50">
        <v>3</v>
      </c>
      <c r="D159" s="52" t="s">
        <v>120</v>
      </c>
      <c r="E159" s="51"/>
      <c r="F159" s="51">
        <f t="shared" si="20"/>
        <v>0</v>
      </c>
      <c r="G159" s="73"/>
    </row>
    <row r="160" spans="1:7" s="25" customFormat="1" ht="21" x14ac:dyDescent="0.2">
      <c r="A160" s="72">
        <f t="shared" si="21"/>
        <v>12.049999999999999</v>
      </c>
      <c r="B160" s="41" t="s">
        <v>161</v>
      </c>
      <c r="C160" s="50">
        <v>2</v>
      </c>
      <c r="D160" s="52" t="s">
        <v>120</v>
      </c>
      <c r="E160" s="51"/>
      <c r="F160" s="51">
        <f t="shared" si="20"/>
        <v>0</v>
      </c>
      <c r="G160" s="73"/>
    </row>
    <row r="161" spans="1:7" s="25" customFormat="1" ht="28.2" customHeight="1" x14ac:dyDescent="0.2">
      <c r="A161" s="72">
        <f t="shared" si="21"/>
        <v>12.059999999999999</v>
      </c>
      <c r="B161" s="41" t="s">
        <v>162</v>
      </c>
      <c r="C161" s="50">
        <v>6</v>
      </c>
      <c r="D161" s="52" t="s">
        <v>120</v>
      </c>
      <c r="E161" s="51"/>
      <c r="F161" s="51">
        <f t="shared" si="20"/>
        <v>0</v>
      </c>
      <c r="G161" s="73"/>
    </row>
    <row r="162" spans="1:7" s="25" customFormat="1" ht="26.4" customHeight="1" x14ac:dyDescent="0.2">
      <c r="A162" s="72">
        <f t="shared" si="21"/>
        <v>12.069999999999999</v>
      </c>
      <c r="B162" s="44" t="s">
        <v>163</v>
      </c>
      <c r="C162" s="50">
        <f>2.25*1*3.28*3.28+1.83*1*3.28*3.28</f>
        <v>43.894272000000001</v>
      </c>
      <c r="D162" s="52" t="s">
        <v>164</v>
      </c>
      <c r="E162" s="51"/>
      <c r="F162" s="51">
        <f t="shared" si="20"/>
        <v>0</v>
      </c>
      <c r="G162" s="73"/>
    </row>
    <row r="163" spans="1:7" s="25" customFormat="1" ht="19.2" customHeight="1" x14ac:dyDescent="0.2">
      <c r="A163" s="72">
        <f t="shared" si="21"/>
        <v>12.079999999999998</v>
      </c>
      <c r="B163" s="49" t="s">
        <v>165</v>
      </c>
      <c r="C163" s="50">
        <v>2</v>
      </c>
      <c r="D163" s="52" t="s">
        <v>120</v>
      </c>
      <c r="E163" s="51"/>
      <c r="F163" s="51">
        <f t="shared" si="20"/>
        <v>0</v>
      </c>
      <c r="G163" s="73"/>
    </row>
    <row r="164" spans="1:7" s="25" customFormat="1" ht="18.600000000000001" customHeight="1" x14ac:dyDescent="0.2">
      <c r="A164" s="72">
        <f t="shared" si="21"/>
        <v>12.089999999999998</v>
      </c>
      <c r="B164" s="49" t="s">
        <v>166</v>
      </c>
      <c r="C164" s="50">
        <v>4</v>
      </c>
      <c r="D164" s="52" t="s">
        <v>120</v>
      </c>
      <c r="E164" s="51"/>
      <c r="F164" s="51">
        <f t="shared" si="20"/>
        <v>0</v>
      </c>
      <c r="G164" s="73"/>
    </row>
    <row r="165" spans="1:7" s="25" customFormat="1" ht="18.600000000000001" customHeight="1" x14ac:dyDescent="0.2">
      <c r="A165" s="72">
        <f t="shared" si="21"/>
        <v>12.099999999999998</v>
      </c>
      <c r="B165" s="44" t="s">
        <v>167</v>
      </c>
      <c r="C165" s="50">
        <v>7</v>
      </c>
      <c r="D165" s="52" t="s">
        <v>120</v>
      </c>
      <c r="E165" s="51"/>
      <c r="F165" s="51">
        <f t="shared" si="20"/>
        <v>0</v>
      </c>
      <c r="G165" s="73"/>
    </row>
    <row r="166" spans="1:7" s="25" customFormat="1" ht="29.4" customHeight="1" x14ac:dyDescent="0.2">
      <c r="A166" s="72">
        <f t="shared" si="21"/>
        <v>12.109999999999998</v>
      </c>
      <c r="B166" s="44" t="s">
        <v>168</v>
      </c>
      <c r="C166" s="50">
        <v>2</v>
      </c>
      <c r="D166" s="52" t="s">
        <v>120</v>
      </c>
      <c r="E166" s="51"/>
      <c r="F166" s="51">
        <f t="shared" si="20"/>
        <v>0</v>
      </c>
      <c r="G166" s="73"/>
    </row>
    <row r="167" spans="1:7" s="25" customFormat="1" ht="31.2" customHeight="1" x14ac:dyDescent="0.2">
      <c r="A167" s="72">
        <f t="shared" si="21"/>
        <v>12.119999999999997</v>
      </c>
      <c r="B167" s="44" t="s">
        <v>169</v>
      </c>
      <c r="C167" s="50">
        <v>7</v>
      </c>
      <c r="D167" s="52" t="s">
        <v>120</v>
      </c>
      <c r="E167" s="51"/>
      <c r="F167" s="51">
        <f t="shared" si="20"/>
        <v>0</v>
      </c>
      <c r="G167" s="73"/>
    </row>
    <row r="168" spans="1:7" s="25" customFormat="1" ht="18.600000000000001" customHeight="1" x14ac:dyDescent="0.2">
      <c r="A168" s="72">
        <f t="shared" si="21"/>
        <v>12.129999999999997</v>
      </c>
      <c r="B168" s="44" t="s">
        <v>170</v>
      </c>
      <c r="C168" s="50">
        <v>1</v>
      </c>
      <c r="D168" s="52" t="s">
        <v>120</v>
      </c>
      <c r="E168" s="51"/>
      <c r="F168" s="51">
        <f t="shared" si="20"/>
        <v>0</v>
      </c>
      <c r="G168" s="73"/>
    </row>
    <row r="169" spans="1:7" s="25" customFormat="1" ht="18.600000000000001" customHeight="1" x14ac:dyDescent="0.2">
      <c r="A169" s="72">
        <f>+A168+0.01</f>
        <v>12.139999999999997</v>
      </c>
      <c r="B169" s="44" t="s">
        <v>171</v>
      </c>
      <c r="C169" s="50">
        <v>1</v>
      </c>
      <c r="D169" s="52" t="s">
        <v>120</v>
      </c>
      <c r="E169" s="51"/>
      <c r="F169" s="51">
        <f t="shared" si="20"/>
        <v>0</v>
      </c>
      <c r="G169" s="73"/>
    </row>
    <row r="170" spans="1:7" s="25" customFormat="1" ht="18.600000000000001" customHeight="1" x14ac:dyDescent="0.2">
      <c r="A170" s="72">
        <f t="shared" si="21"/>
        <v>12.149999999999997</v>
      </c>
      <c r="B170" s="44" t="s">
        <v>172</v>
      </c>
      <c r="C170" s="50">
        <v>1</v>
      </c>
      <c r="D170" s="52" t="s">
        <v>120</v>
      </c>
      <c r="E170" s="51"/>
      <c r="F170" s="51">
        <f t="shared" si="20"/>
        <v>0</v>
      </c>
      <c r="G170" s="73"/>
    </row>
    <row r="171" spans="1:7" s="25" customFormat="1" ht="18.600000000000001" customHeight="1" x14ac:dyDescent="0.2">
      <c r="A171" s="72">
        <f t="shared" si="21"/>
        <v>12.159999999999997</v>
      </c>
      <c r="B171" s="44" t="s">
        <v>173</v>
      </c>
      <c r="C171" s="50">
        <v>1</v>
      </c>
      <c r="D171" s="52" t="s">
        <v>120</v>
      </c>
      <c r="E171" s="51"/>
      <c r="F171" s="51">
        <f t="shared" si="20"/>
        <v>0</v>
      </c>
      <c r="G171" s="73"/>
    </row>
    <row r="172" spans="1:7" s="25" customFormat="1" ht="18.600000000000001" customHeight="1" x14ac:dyDescent="0.2">
      <c r="A172" s="72">
        <f t="shared" si="21"/>
        <v>12.169999999999996</v>
      </c>
      <c r="B172" s="44" t="s">
        <v>174</v>
      </c>
      <c r="C172" s="50">
        <v>1</v>
      </c>
      <c r="D172" s="52" t="s">
        <v>120</v>
      </c>
      <c r="E172" s="51"/>
      <c r="F172" s="51">
        <f t="shared" si="20"/>
        <v>0</v>
      </c>
      <c r="G172" s="59"/>
    </row>
    <row r="173" spans="1:7" s="25" customFormat="1" ht="31.2" customHeight="1" x14ac:dyDescent="0.2">
      <c r="A173" s="72">
        <f t="shared" si="21"/>
        <v>12.179999999999996</v>
      </c>
      <c r="B173" s="44" t="s">
        <v>175</v>
      </c>
      <c r="C173" s="50">
        <v>1</v>
      </c>
      <c r="D173" s="52" t="s">
        <v>120</v>
      </c>
      <c r="E173" s="51"/>
      <c r="F173" s="51">
        <f t="shared" si="20"/>
        <v>0</v>
      </c>
      <c r="G173" s="59"/>
    </row>
    <row r="174" spans="1:7" s="25" customFormat="1" ht="22.2" customHeight="1" x14ac:dyDescent="0.2">
      <c r="A174" s="72">
        <f t="shared" si="21"/>
        <v>12.189999999999996</v>
      </c>
      <c r="B174" s="44" t="s">
        <v>176</v>
      </c>
      <c r="C174" s="50">
        <v>1</v>
      </c>
      <c r="D174" s="52" t="s">
        <v>120</v>
      </c>
      <c r="E174" s="51"/>
      <c r="F174" s="51">
        <f t="shared" si="20"/>
        <v>0</v>
      </c>
      <c r="G174" s="59"/>
    </row>
    <row r="175" spans="1:7" s="25" customFormat="1" ht="21" customHeight="1" x14ac:dyDescent="0.2">
      <c r="A175" s="72">
        <f>+A174+0.01</f>
        <v>12.199999999999996</v>
      </c>
      <c r="B175" s="44" t="s">
        <v>177</v>
      </c>
      <c r="C175" s="50">
        <v>2</v>
      </c>
      <c r="D175" s="52" t="s">
        <v>120</v>
      </c>
      <c r="E175" s="51"/>
      <c r="F175" s="51">
        <f t="shared" si="20"/>
        <v>0</v>
      </c>
      <c r="G175" s="59"/>
    </row>
    <row r="176" spans="1:7" s="25" customFormat="1" ht="29.4" customHeight="1" x14ac:dyDescent="0.2">
      <c r="A176" s="72">
        <f t="shared" si="21"/>
        <v>12.209999999999996</v>
      </c>
      <c r="B176" s="44" t="s">
        <v>178</v>
      </c>
      <c r="C176" s="50">
        <v>19</v>
      </c>
      <c r="D176" s="52" t="s">
        <v>93</v>
      </c>
      <c r="E176" s="51"/>
      <c r="F176" s="51">
        <f t="shared" si="20"/>
        <v>0</v>
      </c>
      <c r="G176" s="59"/>
    </row>
    <row r="177" spans="1:7" s="25" customFormat="1" ht="23.4" customHeight="1" x14ac:dyDescent="0.2">
      <c r="A177" s="72">
        <f t="shared" si="21"/>
        <v>12.219999999999995</v>
      </c>
      <c r="B177" s="44" t="s">
        <v>179</v>
      </c>
      <c r="C177" s="50">
        <v>8</v>
      </c>
      <c r="D177" s="52" t="s">
        <v>120</v>
      </c>
      <c r="E177" s="51"/>
      <c r="F177" s="51">
        <f t="shared" si="20"/>
        <v>0</v>
      </c>
      <c r="G177" s="59"/>
    </row>
    <row r="178" spans="1:7" s="25" customFormat="1" ht="37.200000000000003" customHeight="1" x14ac:dyDescent="0.2">
      <c r="A178" s="72">
        <f t="shared" si="21"/>
        <v>12.229999999999995</v>
      </c>
      <c r="B178" s="44" t="s">
        <v>180</v>
      </c>
      <c r="C178" s="50">
        <v>1</v>
      </c>
      <c r="D178" s="52" t="s">
        <v>120</v>
      </c>
      <c r="E178" s="51"/>
      <c r="F178" s="51">
        <f t="shared" si="20"/>
        <v>0</v>
      </c>
      <c r="G178" s="59"/>
    </row>
    <row r="179" spans="1:7" s="25" customFormat="1" ht="25.2" x14ac:dyDescent="0.2">
      <c r="A179" s="72">
        <f t="shared" si="21"/>
        <v>12.239999999999995</v>
      </c>
      <c r="B179" s="44" t="s">
        <v>181</v>
      </c>
      <c r="C179" s="50">
        <v>1</v>
      </c>
      <c r="D179" s="52" t="s">
        <v>120</v>
      </c>
      <c r="E179" s="51"/>
      <c r="F179" s="51">
        <f t="shared" si="20"/>
        <v>0</v>
      </c>
      <c r="G179" s="59"/>
    </row>
    <row r="180" spans="1:7" s="25" customFormat="1" ht="18" customHeight="1" x14ac:dyDescent="0.2">
      <c r="A180" s="72">
        <f t="shared" si="21"/>
        <v>12.249999999999995</v>
      </c>
      <c r="B180" s="44" t="s">
        <v>182</v>
      </c>
      <c r="C180" s="50">
        <v>1</v>
      </c>
      <c r="D180" s="52" t="s">
        <v>20</v>
      </c>
      <c r="E180" s="51"/>
      <c r="F180" s="51">
        <f t="shared" si="20"/>
        <v>0</v>
      </c>
      <c r="G180" s="59"/>
    </row>
    <row r="181" spans="1:7" s="25" customFormat="1" ht="18" customHeight="1" x14ac:dyDescent="0.2">
      <c r="A181" s="72">
        <f t="shared" si="21"/>
        <v>12.259999999999994</v>
      </c>
      <c r="B181" s="49" t="s">
        <v>183</v>
      </c>
      <c r="C181" s="50">
        <v>1</v>
      </c>
      <c r="D181" s="52" t="s">
        <v>20</v>
      </c>
      <c r="E181" s="51"/>
      <c r="F181" s="51">
        <f t="shared" si="20"/>
        <v>0</v>
      </c>
      <c r="G181" s="59"/>
    </row>
    <row r="182" spans="1:7" s="25" customFormat="1" ht="18" customHeight="1" x14ac:dyDescent="0.2">
      <c r="A182" s="72">
        <f t="shared" si="21"/>
        <v>12.269999999999994</v>
      </c>
      <c r="B182" s="49" t="s">
        <v>184</v>
      </c>
      <c r="C182" s="50">
        <v>1</v>
      </c>
      <c r="D182" s="52" t="s">
        <v>20</v>
      </c>
      <c r="E182" s="51"/>
      <c r="F182" s="51">
        <f t="shared" si="20"/>
        <v>0</v>
      </c>
      <c r="G182" s="59"/>
    </row>
    <row r="183" spans="1:7" s="25" customFormat="1" ht="17.399999999999999" customHeight="1" x14ac:dyDescent="0.2">
      <c r="A183" s="72">
        <f t="shared" si="21"/>
        <v>12.279999999999994</v>
      </c>
      <c r="B183" s="44" t="s">
        <v>185</v>
      </c>
      <c r="C183" s="50">
        <v>3</v>
      </c>
      <c r="D183" s="52" t="s">
        <v>93</v>
      </c>
      <c r="E183" s="51"/>
      <c r="F183" s="51">
        <f>+ROUND((C183*E183),2)</f>
        <v>0</v>
      </c>
      <c r="G183" s="59"/>
    </row>
    <row r="184" spans="1:7" s="25" customFormat="1" ht="17.399999999999999" customHeight="1" x14ac:dyDescent="0.2">
      <c r="A184" s="72">
        <f t="shared" si="21"/>
        <v>12.289999999999994</v>
      </c>
      <c r="B184" s="44" t="s">
        <v>186</v>
      </c>
      <c r="C184" s="50">
        <f>3*4</f>
        <v>12</v>
      </c>
      <c r="D184" s="52" t="s">
        <v>93</v>
      </c>
      <c r="E184" s="51"/>
      <c r="F184" s="51">
        <f>+ROUND((C184*E184),2)</f>
        <v>0</v>
      </c>
      <c r="G184" s="74">
        <f>SUM(F156:F184)</f>
        <v>0</v>
      </c>
    </row>
    <row r="185" spans="1:7" x14ac:dyDescent="0.2">
      <c r="A185" s="75"/>
      <c r="B185" s="64"/>
      <c r="C185" s="37"/>
      <c r="E185" s="38"/>
      <c r="F185" s="38"/>
      <c r="G185" s="39"/>
    </row>
    <row r="186" spans="1:7" ht="20.399999999999999" customHeight="1" x14ac:dyDescent="0.2">
      <c r="A186" s="19">
        <v>13</v>
      </c>
      <c r="B186" s="66" t="s">
        <v>187</v>
      </c>
      <c r="G186" s="67"/>
    </row>
    <row r="187" spans="1:7" ht="27" customHeight="1" x14ac:dyDescent="0.2">
      <c r="A187" s="40">
        <f>+A186+0.01</f>
        <v>13.01</v>
      </c>
      <c r="B187" s="45" t="s">
        <v>188</v>
      </c>
      <c r="C187" s="50">
        <f>42+6+1</f>
        <v>49</v>
      </c>
      <c r="D187" s="52" t="s">
        <v>120</v>
      </c>
      <c r="E187" s="51"/>
      <c r="F187" s="51">
        <f>+ROUND((C187*E187),2)</f>
        <v>0</v>
      </c>
      <c r="G187" s="67"/>
    </row>
    <row r="188" spans="1:7" ht="18.600000000000001" customHeight="1" x14ac:dyDescent="0.2">
      <c r="A188" s="40">
        <f t="shared" ref="A188:A215" si="22">+A187+0.01</f>
        <v>13.02</v>
      </c>
      <c r="B188" s="45" t="s">
        <v>189</v>
      </c>
      <c r="C188" s="50">
        <f>42+1+2+9+4+1+4+2+2+6</f>
        <v>73</v>
      </c>
      <c r="D188" s="52" t="s">
        <v>98</v>
      </c>
      <c r="E188" s="51"/>
      <c r="F188" s="51">
        <f t="shared" ref="F188:F215" si="23">+ROUND((C188*E188),2)</f>
        <v>0</v>
      </c>
      <c r="G188" s="67"/>
    </row>
    <row r="189" spans="1:7" ht="18.600000000000001" customHeight="1" x14ac:dyDescent="0.2">
      <c r="A189" s="40">
        <f t="shared" si="22"/>
        <v>13.03</v>
      </c>
      <c r="B189" s="45" t="s">
        <v>190</v>
      </c>
      <c r="C189" s="50">
        <v>29</v>
      </c>
      <c r="D189" s="52" t="s">
        <v>98</v>
      </c>
      <c r="E189" s="51"/>
      <c r="F189" s="51">
        <f t="shared" si="23"/>
        <v>0</v>
      </c>
      <c r="G189" s="67"/>
    </row>
    <row r="190" spans="1:7" ht="18.600000000000001" customHeight="1" x14ac:dyDescent="0.2">
      <c r="A190" s="40">
        <f t="shared" si="22"/>
        <v>13.04</v>
      </c>
      <c r="B190" s="45" t="s">
        <v>191</v>
      </c>
      <c r="C190" s="50">
        <v>8</v>
      </c>
      <c r="D190" s="52" t="s">
        <v>98</v>
      </c>
      <c r="E190" s="51"/>
      <c r="F190" s="51">
        <f t="shared" si="23"/>
        <v>0</v>
      </c>
      <c r="G190" s="67"/>
    </row>
    <row r="191" spans="1:7" ht="18.600000000000001" customHeight="1" x14ac:dyDescent="0.2">
      <c r="A191" s="40">
        <f t="shared" si="22"/>
        <v>13.049999999999999</v>
      </c>
      <c r="B191" s="45" t="s">
        <v>192</v>
      </c>
      <c r="C191" s="50">
        <v>10</v>
      </c>
      <c r="D191" s="52" t="s">
        <v>98</v>
      </c>
      <c r="E191" s="51"/>
      <c r="F191" s="51">
        <f t="shared" si="23"/>
        <v>0</v>
      </c>
      <c r="G191" s="67"/>
    </row>
    <row r="192" spans="1:7" ht="18.600000000000001" customHeight="1" x14ac:dyDescent="0.2">
      <c r="A192" s="40">
        <f t="shared" si="22"/>
        <v>13.059999999999999</v>
      </c>
      <c r="B192" s="45" t="s">
        <v>193</v>
      </c>
      <c r="C192" s="50">
        <v>8</v>
      </c>
      <c r="D192" s="52" t="s">
        <v>98</v>
      </c>
      <c r="E192" s="51"/>
      <c r="F192" s="51">
        <f t="shared" si="23"/>
        <v>0</v>
      </c>
      <c r="G192" s="67"/>
    </row>
    <row r="193" spans="1:8" ht="18.600000000000001" customHeight="1" x14ac:dyDescent="0.2">
      <c r="A193" s="40">
        <f t="shared" si="22"/>
        <v>13.069999999999999</v>
      </c>
      <c r="B193" s="45" t="s">
        <v>194</v>
      </c>
      <c r="C193" s="50">
        <v>5</v>
      </c>
      <c r="D193" s="52" t="s">
        <v>98</v>
      </c>
      <c r="E193" s="51"/>
      <c r="F193" s="51">
        <f t="shared" si="23"/>
        <v>0</v>
      </c>
      <c r="G193" s="67"/>
    </row>
    <row r="194" spans="1:8" ht="18.600000000000001" customHeight="1" x14ac:dyDescent="0.2">
      <c r="A194" s="40">
        <f t="shared" si="22"/>
        <v>13.079999999999998</v>
      </c>
      <c r="B194" s="45" t="s">
        <v>195</v>
      </c>
      <c r="C194" s="50">
        <v>10</v>
      </c>
      <c r="D194" s="52" t="s">
        <v>98</v>
      </c>
      <c r="E194" s="51"/>
      <c r="F194" s="51">
        <f t="shared" si="23"/>
        <v>0</v>
      </c>
      <c r="G194" s="67"/>
    </row>
    <row r="195" spans="1:8" ht="18.600000000000001" customHeight="1" x14ac:dyDescent="0.2">
      <c r="A195" s="40">
        <f t="shared" si="22"/>
        <v>13.089999999999998</v>
      </c>
      <c r="B195" s="45" t="s">
        <v>196</v>
      </c>
      <c r="C195" s="50">
        <v>8</v>
      </c>
      <c r="D195" s="52" t="s">
        <v>98</v>
      </c>
      <c r="E195" s="51"/>
      <c r="F195" s="51">
        <f t="shared" si="23"/>
        <v>0</v>
      </c>
      <c r="G195" s="67"/>
    </row>
    <row r="196" spans="1:8" ht="18.600000000000001" customHeight="1" x14ac:dyDescent="0.2">
      <c r="A196" s="40">
        <f t="shared" si="22"/>
        <v>13.099999999999998</v>
      </c>
      <c r="B196" s="45" t="s">
        <v>197</v>
      </c>
      <c r="C196" s="50">
        <v>2</v>
      </c>
      <c r="D196" s="52" t="s">
        <v>98</v>
      </c>
      <c r="E196" s="51"/>
      <c r="F196" s="51">
        <f t="shared" si="23"/>
        <v>0</v>
      </c>
      <c r="G196" s="67"/>
    </row>
    <row r="197" spans="1:8" ht="18.600000000000001" customHeight="1" x14ac:dyDescent="0.2">
      <c r="A197" s="40">
        <f t="shared" si="22"/>
        <v>13.109999999999998</v>
      </c>
      <c r="B197" s="45" t="s">
        <v>198</v>
      </c>
      <c r="C197" s="50">
        <v>2</v>
      </c>
      <c r="D197" s="52" t="s">
        <v>98</v>
      </c>
      <c r="E197" s="51"/>
      <c r="F197" s="51">
        <f t="shared" si="23"/>
        <v>0</v>
      </c>
      <c r="G197" s="67"/>
    </row>
    <row r="198" spans="1:8" ht="18.600000000000001" customHeight="1" x14ac:dyDescent="0.2">
      <c r="A198" s="40">
        <f t="shared" si="22"/>
        <v>13.119999999999997</v>
      </c>
      <c r="B198" s="45" t="s">
        <v>199</v>
      </c>
      <c r="C198" s="50">
        <v>2</v>
      </c>
      <c r="D198" s="52" t="s">
        <v>98</v>
      </c>
      <c r="E198" s="51"/>
      <c r="F198" s="51">
        <f t="shared" si="23"/>
        <v>0</v>
      </c>
      <c r="G198" s="67"/>
    </row>
    <row r="199" spans="1:8" ht="18.600000000000001" customHeight="1" x14ac:dyDescent="0.2">
      <c r="A199" s="40">
        <f t="shared" si="22"/>
        <v>13.129999999999997</v>
      </c>
      <c r="B199" s="45" t="s">
        <v>200</v>
      </c>
      <c r="C199" s="50">
        <v>3</v>
      </c>
      <c r="D199" s="52" t="s">
        <v>120</v>
      </c>
      <c r="E199" s="51"/>
      <c r="F199" s="51">
        <f t="shared" si="23"/>
        <v>0</v>
      </c>
      <c r="G199" s="67"/>
    </row>
    <row r="200" spans="1:8" ht="18.600000000000001" customHeight="1" x14ac:dyDescent="0.2">
      <c r="A200" s="40">
        <f t="shared" si="22"/>
        <v>13.139999999999997</v>
      </c>
      <c r="B200" s="45" t="s">
        <v>201</v>
      </c>
      <c r="C200" s="50">
        <v>1</v>
      </c>
      <c r="D200" s="52" t="s">
        <v>120</v>
      </c>
      <c r="E200" s="51"/>
      <c r="F200" s="51">
        <f t="shared" si="23"/>
        <v>0</v>
      </c>
      <c r="G200" s="67"/>
    </row>
    <row r="201" spans="1:8" ht="18.600000000000001" customHeight="1" x14ac:dyDescent="0.2">
      <c r="A201" s="40">
        <f t="shared" si="22"/>
        <v>13.149999999999997</v>
      </c>
      <c r="B201" s="45" t="s">
        <v>202</v>
      </c>
      <c r="C201" s="50">
        <v>1</v>
      </c>
      <c r="D201" s="52" t="s">
        <v>120</v>
      </c>
      <c r="E201" s="51"/>
      <c r="F201" s="51">
        <f t="shared" si="23"/>
        <v>0</v>
      </c>
      <c r="G201" s="67"/>
    </row>
    <row r="202" spans="1:8" ht="24.6" customHeight="1" x14ac:dyDescent="0.2">
      <c r="A202" s="40">
        <f t="shared" si="22"/>
        <v>13.159999999999997</v>
      </c>
      <c r="B202" s="45" t="s">
        <v>203</v>
      </c>
      <c r="C202" s="50">
        <v>8</v>
      </c>
      <c r="D202" s="52" t="s">
        <v>120</v>
      </c>
      <c r="E202" s="51"/>
      <c r="F202" s="51">
        <f t="shared" si="23"/>
        <v>0</v>
      </c>
      <c r="G202" s="67"/>
    </row>
    <row r="203" spans="1:8" ht="21.6" customHeight="1" x14ac:dyDescent="0.2">
      <c r="A203" s="40">
        <f t="shared" si="22"/>
        <v>13.169999999999996</v>
      </c>
      <c r="B203" s="45" t="s">
        <v>204</v>
      </c>
      <c r="C203" s="50">
        <v>14</v>
      </c>
      <c r="D203" s="52" t="s">
        <v>120</v>
      </c>
      <c r="E203" s="51"/>
      <c r="F203" s="51">
        <f t="shared" si="23"/>
        <v>0</v>
      </c>
      <c r="G203" s="67"/>
    </row>
    <row r="204" spans="1:8" ht="22.2" customHeight="1" x14ac:dyDescent="0.2">
      <c r="A204" s="40">
        <f t="shared" si="22"/>
        <v>13.179999999999996</v>
      </c>
      <c r="B204" s="45" t="s">
        <v>205</v>
      </c>
      <c r="C204" s="50">
        <v>16</v>
      </c>
      <c r="D204" s="52" t="s">
        <v>120</v>
      </c>
      <c r="E204" s="51"/>
      <c r="F204" s="51">
        <f t="shared" si="23"/>
        <v>0</v>
      </c>
      <c r="G204" s="67"/>
    </row>
    <row r="205" spans="1:8" ht="18.600000000000001" customHeight="1" x14ac:dyDescent="0.2">
      <c r="A205" s="40">
        <f t="shared" si="22"/>
        <v>13.189999999999996</v>
      </c>
      <c r="B205" s="45" t="s">
        <v>206</v>
      </c>
      <c r="C205" s="50">
        <v>2</v>
      </c>
      <c r="D205" s="52" t="s">
        <v>120</v>
      </c>
      <c r="E205" s="51"/>
      <c r="F205" s="51">
        <f t="shared" si="23"/>
        <v>0</v>
      </c>
      <c r="G205" s="67"/>
    </row>
    <row r="206" spans="1:8" ht="22.2" customHeight="1" x14ac:dyDescent="0.2">
      <c r="A206" s="40">
        <f t="shared" si="22"/>
        <v>13.199999999999996</v>
      </c>
      <c r="B206" s="45" t="s">
        <v>207</v>
      </c>
      <c r="C206" s="50">
        <v>2</v>
      </c>
      <c r="D206" s="52" t="s">
        <v>120</v>
      </c>
      <c r="E206" s="51"/>
      <c r="F206" s="51">
        <f t="shared" si="23"/>
        <v>0</v>
      </c>
      <c r="G206" s="67"/>
    </row>
    <row r="207" spans="1:8" ht="28.8" customHeight="1" x14ac:dyDescent="0.2">
      <c r="A207" s="40">
        <f t="shared" si="22"/>
        <v>13.209999999999996</v>
      </c>
      <c r="B207" s="45" t="s">
        <v>208</v>
      </c>
      <c r="C207" s="50">
        <v>4</v>
      </c>
      <c r="D207" s="52" t="s">
        <v>120</v>
      </c>
      <c r="E207" s="51"/>
      <c r="F207" s="51">
        <f t="shared" si="23"/>
        <v>0</v>
      </c>
      <c r="G207" s="76"/>
      <c r="H207" s="77"/>
    </row>
    <row r="208" spans="1:8" ht="20.399999999999999" customHeight="1" x14ac:dyDescent="0.2">
      <c r="A208" s="40">
        <f t="shared" si="22"/>
        <v>13.219999999999995</v>
      </c>
      <c r="B208" s="61" t="s">
        <v>209</v>
      </c>
      <c r="C208" s="50">
        <v>8</v>
      </c>
      <c r="D208" s="52" t="s">
        <v>120</v>
      </c>
      <c r="E208" s="51"/>
      <c r="F208" s="51">
        <f t="shared" si="23"/>
        <v>0</v>
      </c>
      <c r="G208" s="67"/>
    </row>
    <row r="209" spans="1:7" ht="22.2" customHeight="1" x14ac:dyDescent="0.2">
      <c r="A209" s="40">
        <f t="shared" si="22"/>
        <v>13.229999999999995</v>
      </c>
      <c r="B209" s="61" t="s">
        <v>210</v>
      </c>
      <c r="C209" s="50">
        <v>2</v>
      </c>
      <c r="D209" s="52" t="s">
        <v>120</v>
      </c>
      <c r="E209" s="51"/>
      <c r="F209" s="51">
        <f t="shared" si="23"/>
        <v>0</v>
      </c>
      <c r="G209" s="67"/>
    </row>
    <row r="210" spans="1:7" ht="26.4" customHeight="1" x14ac:dyDescent="0.2">
      <c r="A210" s="40">
        <f t="shared" si="22"/>
        <v>13.239999999999995</v>
      </c>
      <c r="B210" s="27" t="s">
        <v>211</v>
      </c>
      <c r="C210" s="50">
        <v>1</v>
      </c>
      <c r="D210" s="52" t="s">
        <v>120</v>
      </c>
      <c r="E210" s="51"/>
      <c r="F210" s="51">
        <f t="shared" si="23"/>
        <v>0</v>
      </c>
      <c r="G210" s="67"/>
    </row>
    <row r="211" spans="1:7" ht="22.2" customHeight="1" x14ac:dyDescent="0.2">
      <c r="A211" s="40">
        <f t="shared" si="22"/>
        <v>13.249999999999995</v>
      </c>
      <c r="B211" s="41" t="s">
        <v>212</v>
      </c>
      <c r="C211" s="50">
        <v>1</v>
      </c>
      <c r="D211" s="52" t="s">
        <v>20</v>
      </c>
      <c r="E211" s="51"/>
      <c r="F211" s="51">
        <f t="shared" si="23"/>
        <v>0</v>
      </c>
      <c r="G211" s="67"/>
    </row>
    <row r="212" spans="1:7" ht="20.399999999999999" customHeight="1" x14ac:dyDescent="0.2">
      <c r="A212" s="40">
        <f t="shared" si="22"/>
        <v>13.259999999999994</v>
      </c>
      <c r="B212" s="41" t="s">
        <v>213</v>
      </c>
      <c r="C212" s="50">
        <v>1</v>
      </c>
      <c r="D212" s="52" t="s">
        <v>20</v>
      </c>
      <c r="E212" s="51"/>
      <c r="F212" s="51">
        <f t="shared" si="23"/>
        <v>0</v>
      </c>
      <c r="G212" s="67"/>
    </row>
    <row r="213" spans="1:7" ht="19.8" customHeight="1" x14ac:dyDescent="0.2">
      <c r="A213" s="40">
        <f t="shared" si="22"/>
        <v>13.269999999999994</v>
      </c>
      <c r="B213" s="41" t="s">
        <v>214</v>
      </c>
      <c r="C213" s="50">
        <v>1</v>
      </c>
      <c r="D213" s="52" t="s">
        <v>20</v>
      </c>
      <c r="E213" s="51"/>
      <c r="F213" s="51">
        <f t="shared" si="23"/>
        <v>0</v>
      </c>
      <c r="G213" s="67"/>
    </row>
    <row r="214" spans="1:7" ht="18.600000000000001" customHeight="1" x14ac:dyDescent="0.2">
      <c r="A214" s="40">
        <f t="shared" si="22"/>
        <v>13.279999999999994</v>
      </c>
      <c r="B214" s="41" t="s">
        <v>215</v>
      </c>
      <c r="C214" s="50">
        <v>1</v>
      </c>
      <c r="D214" s="52" t="s">
        <v>20</v>
      </c>
      <c r="E214" s="51"/>
      <c r="F214" s="51">
        <f t="shared" si="23"/>
        <v>0</v>
      </c>
      <c r="G214" s="67"/>
    </row>
    <row r="215" spans="1:7" ht="28.2" customHeight="1" x14ac:dyDescent="0.2">
      <c r="A215" s="40">
        <f t="shared" si="22"/>
        <v>13.289999999999994</v>
      </c>
      <c r="B215" s="78" t="s">
        <v>216</v>
      </c>
      <c r="C215" s="50">
        <v>1</v>
      </c>
      <c r="D215" s="45" t="s">
        <v>98</v>
      </c>
      <c r="E215" s="51"/>
      <c r="F215" s="51">
        <f t="shared" si="23"/>
        <v>0</v>
      </c>
      <c r="G215" s="79">
        <f>SUM(F187:F215)</f>
        <v>0</v>
      </c>
    </row>
    <row r="216" spans="1:7" x14ac:dyDescent="0.2">
      <c r="A216" s="75"/>
      <c r="B216" s="64"/>
      <c r="C216" s="37"/>
      <c r="E216" s="38"/>
      <c r="F216" s="38"/>
      <c r="G216" s="39"/>
    </row>
    <row r="217" spans="1:7" ht="20.399999999999999" customHeight="1" x14ac:dyDescent="0.2">
      <c r="A217" s="19">
        <v>14</v>
      </c>
      <c r="B217" s="20" t="s">
        <v>217</v>
      </c>
      <c r="G217" s="67"/>
    </row>
    <row r="218" spans="1:7" ht="20.399999999999999" customHeight="1" x14ac:dyDescent="0.2">
      <c r="A218" s="40">
        <f>+A217+0.01</f>
        <v>14.01</v>
      </c>
      <c r="B218" s="61" t="s">
        <v>218</v>
      </c>
      <c r="C218" s="50">
        <f>+C80+C81+C82+C83+C84</f>
        <v>1594.3620000000003</v>
      </c>
      <c r="D218" s="52" t="s">
        <v>16</v>
      </c>
      <c r="E218" s="51"/>
      <c r="F218" s="51">
        <f>+ROUND((C218*E218),2)</f>
        <v>0</v>
      </c>
      <c r="G218" s="39"/>
    </row>
    <row r="219" spans="1:7" ht="33" customHeight="1" x14ac:dyDescent="0.2">
      <c r="A219" s="40">
        <f t="shared" ref="A219:A222" si="24">+A218+0.01</f>
        <v>14.02</v>
      </c>
      <c r="B219" s="27" t="s">
        <v>219</v>
      </c>
      <c r="C219" s="50">
        <f>+C80</f>
        <v>468.23700000000002</v>
      </c>
      <c r="D219" s="52" t="s">
        <v>16</v>
      </c>
      <c r="E219" s="51"/>
      <c r="F219" s="51">
        <f t="shared" ref="F219:F222" si="25">+ROUND((C219*E219),2)</f>
        <v>0</v>
      </c>
      <c r="G219" s="39"/>
    </row>
    <row r="220" spans="1:7" ht="20.399999999999999" customHeight="1" x14ac:dyDescent="0.2">
      <c r="A220" s="40">
        <f t="shared" si="24"/>
        <v>14.03</v>
      </c>
      <c r="B220" s="61" t="s">
        <v>220</v>
      </c>
      <c r="C220" s="50">
        <f>+C81</f>
        <v>874.75700000000006</v>
      </c>
      <c r="D220" s="52" t="s">
        <v>16</v>
      </c>
      <c r="E220" s="51"/>
      <c r="F220" s="51">
        <f t="shared" si="25"/>
        <v>0</v>
      </c>
      <c r="G220" s="39"/>
    </row>
    <row r="221" spans="1:7" ht="20.399999999999999" customHeight="1" x14ac:dyDescent="0.2">
      <c r="A221" s="40">
        <f t="shared" si="24"/>
        <v>14.04</v>
      </c>
      <c r="B221" s="61" t="s">
        <v>221</v>
      </c>
      <c r="C221" s="50">
        <f>+C82</f>
        <v>203.16800000000003</v>
      </c>
      <c r="D221" s="52" t="s">
        <v>16</v>
      </c>
      <c r="E221" s="51"/>
      <c r="F221" s="51">
        <f t="shared" si="25"/>
        <v>0</v>
      </c>
      <c r="G221" s="39"/>
    </row>
    <row r="222" spans="1:7" ht="20.399999999999999" customHeight="1" x14ac:dyDescent="0.2">
      <c r="A222" s="40">
        <f t="shared" si="24"/>
        <v>14.049999999999999</v>
      </c>
      <c r="B222" s="61" t="s">
        <v>222</v>
      </c>
      <c r="C222" s="50">
        <f>+C85*2</f>
        <v>721.41200000000003</v>
      </c>
      <c r="D222" s="52" t="s">
        <v>16</v>
      </c>
      <c r="E222" s="51"/>
      <c r="F222" s="51">
        <f t="shared" si="25"/>
        <v>0</v>
      </c>
      <c r="G222" s="39"/>
    </row>
    <row r="223" spans="1:7" x14ac:dyDescent="0.2">
      <c r="A223" s="40"/>
      <c r="B223" s="45"/>
      <c r="C223" s="50"/>
      <c r="D223" s="52"/>
      <c r="E223" s="51"/>
      <c r="F223" s="51"/>
      <c r="G223" s="53">
        <f>SUM(F218:F222)</f>
        <v>0</v>
      </c>
    </row>
    <row r="224" spans="1:7" ht="18.600000000000001" customHeight="1" x14ac:dyDescent="0.2">
      <c r="A224" s="35">
        <v>15</v>
      </c>
      <c r="B224" s="80" t="s">
        <v>223</v>
      </c>
      <c r="C224" s="37"/>
      <c r="E224" s="38"/>
      <c r="F224" s="38"/>
      <c r="G224" s="39"/>
    </row>
    <row r="225" spans="1:7" ht="20.399999999999999" customHeight="1" x14ac:dyDescent="0.2">
      <c r="A225" s="40">
        <f>+A224+0.01</f>
        <v>15.01</v>
      </c>
      <c r="B225" s="49" t="s">
        <v>224</v>
      </c>
      <c r="C225" s="50">
        <v>1</v>
      </c>
      <c r="D225" s="52" t="s">
        <v>225</v>
      </c>
      <c r="E225" s="51"/>
      <c r="F225" s="51">
        <f>+C225*E225</f>
        <v>0</v>
      </c>
      <c r="G225" s="67"/>
    </row>
    <row r="226" spans="1:7" ht="20.399999999999999" customHeight="1" x14ac:dyDescent="0.2">
      <c r="A226" s="40">
        <f t="shared" ref="A226:A247" si="26">+A225+0.01</f>
        <v>15.02</v>
      </c>
      <c r="B226" s="49" t="s">
        <v>226</v>
      </c>
      <c r="C226" s="50">
        <v>1</v>
      </c>
      <c r="D226" s="52" t="s">
        <v>225</v>
      </c>
      <c r="E226" s="51"/>
      <c r="F226" s="51">
        <f t="shared" ref="F226:F246" si="27">+C226*E226</f>
        <v>0</v>
      </c>
      <c r="G226" s="67"/>
    </row>
    <row r="227" spans="1:7" ht="20.399999999999999" customHeight="1" x14ac:dyDescent="0.2">
      <c r="A227" s="40">
        <f t="shared" si="26"/>
        <v>15.03</v>
      </c>
      <c r="B227" s="49" t="s">
        <v>227</v>
      </c>
      <c r="C227" s="50">
        <v>1</v>
      </c>
      <c r="D227" s="52" t="s">
        <v>98</v>
      </c>
      <c r="E227" s="51"/>
      <c r="F227" s="51">
        <f t="shared" si="27"/>
        <v>0</v>
      </c>
      <c r="G227" s="67"/>
    </row>
    <row r="228" spans="1:7" ht="32.4" customHeight="1" x14ac:dyDescent="0.2">
      <c r="A228" s="40">
        <f t="shared" si="26"/>
        <v>15.04</v>
      </c>
      <c r="B228" s="49" t="s">
        <v>228</v>
      </c>
      <c r="C228" s="50">
        <v>1</v>
      </c>
      <c r="D228" s="52" t="s">
        <v>98</v>
      </c>
      <c r="E228" s="51"/>
      <c r="F228" s="51">
        <f t="shared" si="27"/>
        <v>0</v>
      </c>
      <c r="G228" s="67"/>
    </row>
    <row r="229" spans="1:7" ht="26.4" customHeight="1" x14ac:dyDescent="0.2">
      <c r="A229" s="40">
        <f t="shared" si="26"/>
        <v>15.049999999999999</v>
      </c>
      <c r="B229" s="49" t="s">
        <v>229</v>
      </c>
      <c r="C229" s="50">
        <f>+[1]VOLUMETRIA!F267</f>
        <v>266.74950000000001</v>
      </c>
      <c r="D229" s="52" t="s">
        <v>24</v>
      </c>
      <c r="E229" s="51"/>
      <c r="F229" s="51">
        <f t="shared" si="27"/>
        <v>0</v>
      </c>
      <c r="G229" s="67"/>
    </row>
    <row r="230" spans="1:7" ht="20.399999999999999" customHeight="1" x14ac:dyDescent="0.2">
      <c r="A230" s="40">
        <f t="shared" si="26"/>
        <v>15.059999999999999</v>
      </c>
      <c r="B230" s="49" t="s">
        <v>230</v>
      </c>
      <c r="C230" s="50">
        <v>16</v>
      </c>
      <c r="D230" s="52" t="s">
        <v>120</v>
      </c>
      <c r="E230" s="51"/>
      <c r="F230" s="51">
        <f t="shared" si="27"/>
        <v>0</v>
      </c>
      <c r="G230" s="67"/>
    </row>
    <row r="231" spans="1:7" ht="20.399999999999999" customHeight="1" x14ac:dyDescent="0.2">
      <c r="A231" s="40">
        <f t="shared" si="26"/>
        <v>15.069999999999999</v>
      </c>
      <c r="B231" s="49" t="s">
        <v>231</v>
      </c>
      <c r="C231" s="50">
        <v>4</v>
      </c>
      <c r="D231" s="52" t="s">
        <v>120</v>
      </c>
      <c r="E231" s="51"/>
      <c r="F231" s="51">
        <f t="shared" si="27"/>
        <v>0</v>
      </c>
      <c r="G231" s="67"/>
    </row>
    <row r="232" spans="1:7" ht="20.399999999999999" customHeight="1" x14ac:dyDescent="0.2">
      <c r="A232" s="40">
        <f t="shared" si="26"/>
        <v>15.079999999999998</v>
      </c>
      <c r="B232" s="49" t="s">
        <v>232</v>
      </c>
      <c r="C232" s="50">
        <v>1</v>
      </c>
      <c r="D232" s="52" t="s">
        <v>98</v>
      </c>
      <c r="E232" s="51"/>
      <c r="F232" s="51">
        <f t="shared" si="27"/>
        <v>0</v>
      </c>
      <c r="G232" s="67"/>
    </row>
    <row r="233" spans="1:7" ht="26.4" customHeight="1" x14ac:dyDescent="0.2">
      <c r="A233" s="40">
        <f t="shared" si="26"/>
        <v>15.089999999999998</v>
      </c>
      <c r="B233" s="49" t="s">
        <v>233</v>
      </c>
      <c r="C233" s="50">
        <v>1</v>
      </c>
      <c r="D233" s="52" t="s">
        <v>98</v>
      </c>
      <c r="E233" s="51"/>
      <c r="F233" s="51">
        <f t="shared" si="27"/>
        <v>0</v>
      </c>
      <c r="G233" s="67"/>
    </row>
    <row r="234" spans="1:7" ht="31.2" customHeight="1" x14ac:dyDescent="0.2">
      <c r="A234" s="40">
        <f t="shared" si="26"/>
        <v>15.099999999999998</v>
      </c>
      <c r="B234" s="49" t="s">
        <v>234</v>
      </c>
      <c r="C234" s="50">
        <v>1</v>
      </c>
      <c r="D234" s="52" t="s">
        <v>98</v>
      </c>
      <c r="E234" s="51"/>
      <c r="F234" s="51">
        <f t="shared" si="27"/>
        <v>0</v>
      </c>
      <c r="G234" s="67"/>
    </row>
    <row r="235" spans="1:7" ht="20.399999999999999" customHeight="1" x14ac:dyDescent="0.2">
      <c r="A235" s="40">
        <f t="shared" si="26"/>
        <v>15.109999999999998</v>
      </c>
      <c r="B235" s="49" t="s">
        <v>235</v>
      </c>
      <c r="C235" s="50">
        <v>1</v>
      </c>
      <c r="D235" s="52" t="s">
        <v>98</v>
      </c>
      <c r="E235" s="51"/>
      <c r="F235" s="51">
        <f t="shared" si="27"/>
        <v>0</v>
      </c>
      <c r="G235" s="67"/>
    </row>
    <row r="236" spans="1:7" ht="20.399999999999999" customHeight="1" x14ac:dyDescent="0.2">
      <c r="A236" s="40">
        <f t="shared" si="26"/>
        <v>15.119999999999997</v>
      </c>
      <c r="B236" s="49" t="s">
        <v>236</v>
      </c>
      <c r="C236" s="50">
        <v>1</v>
      </c>
      <c r="D236" s="52" t="s">
        <v>98</v>
      </c>
      <c r="E236" s="51"/>
      <c r="F236" s="51">
        <f t="shared" si="27"/>
        <v>0</v>
      </c>
      <c r="G236" s="67"/>
    </row>
    <row r="237" spans="1:7" ht="20.399999999999999" customHeight="1" x14ac:dyDescent="0.2">
      <c r="A237" s="40">
        <f t="shared" si="26"/>
        <v>15.129999999999997</v>
      </c>
      <c r="B237" s="49" t="s">
        <v>237</v>
      </c>
      <c r="C237" s="50">
        <v>12</v>
      </c>
      <c r="D237" s="52" t="s">
        <v>98</v>
      </c>
      <c r="E237" s="51"/>
      <c r="F237" s="51">
        <f t="shared" si="27"/>
        <v>0</v>
      </c>
      <c r="G237" s="67"/>
    </row>
    <row r="238" spans="1:7" ht="20.399999999999999" customHeight="1" x14ac:dyDescent="0.2">
      <c r="A238" s="40">
        <f t="shared" si="26"/>
        <v>15.139999999999997</v>
      </c>
      <c r="B238" s="49" t="s">
        <v>238</v>
      </c>
      <c r="C238" s="50">
        <f>+C237*6</f>
        <v>72</v>
      </c>
      <c r="D238" s="52" t="s">
        <v>98</v>
      </c>
      <c r="E238" s="51"/>
      <c r="F238" s="51">
        <f>+C238*E238</f>
        <v>0</v>
      </c>
      <c r="G238" s="67"/>
    </row>
    <row r="239" spans="1:7" ht="20.399999999999999" customHeight="1" x14ac:dyDescent="0.2">
      <c r="A239" s="40">
        <f>+A238+0.01</f>
        <v>15.149999999999997</v>
      </c>
      <c r="B239" s="49" t="s">
        <v>239</v>
      </c>
      <c r="C239" s="50">
        <v>1</v>
      </c>
      <c r="D239" s="52" t="s">
        <v>98</v>
      </c>
      <c r="E239" s="51"/>
      <c r="F239" s="51">
        <f t="shared" si="27"/>
        <v>0</v>
      </c>
      <c r="G239" s="67"/>
    </row>
    <row r="240" spans="1:7" ht="32.4" customHeight="1" x14ac:dyDescent="0.2">
      <c r="A240" s="40">
        <f t="shared" si="26"/>
        <v>15.159999999999997</v>
      </c>
      <c r="B240" s="49" t="s">
        <v>240</v>
      </c>
      <c r="C240" s="50">
        <v>1</v>
      </c>
      <c r="D240" s="52" t="s">
        <v>98</v>
      </c>
      <c r="E240" s="51"/>
      <c r="F240" s="51">
        <f t="shared" si="27"/>
        <v>0</v>
      </c>
      <c r="G240" s="67"/>
    </row>
    <row r="241" spans="1:10" ht="31.8" customHeight="1" x14ac:dyDescent="0.2">
      <c r="A241" s="40">
        <f t="shared" si="26"/>
        <v>15.169999999999996</v>
      </c>
      <c r="B241" s="49" t="s">
        <v>241</v>
      </c>
      <c r="C241" s="50">
        <v>1</v>
      </c>
      <c r="D241" s="52" t="s">
        <v>98</v>
      </c>
      <c r="E241" s="51"/>
      <c r="F241" s="51">
        <f t="shared" si="27"/>
        <v>0</v>
      </c>
      <c r="G241" s="67"/>
    </row>
    <row r="242" spans="1:10" ht="20.399999999999999" customHeight="1" x14ac:dyDescent="0.2">
      <c r="A242" s="40">
        <f t="shared" si="26"/>
        <v>15.179999999999996</v>
      </c>
      <c r="B242" s="49" t="s">
        <v>242</v>
      </c>
      <c r="C242" s="50">
        <v>1</v>
      </c>
      <c r="D242" s="52" t="s">
        <v>98</v>
      </c>
      <c r="E242" s="51"/>
      <c r="F242" s="51">
        <f t="shared" si="27"/>
        <v>0</v>
      </c>
      <c r="G242" s="67"/>
    </row>
    <row r="243" spans="1:10" ht="33.6" customHeight="1" x14ac:dyDescent="0.2">
      <c r="A243" s="40">
        <f>+A242+0.01</f>
        <v>15.189999999999996</v>
      </c>
      <c r="B243" s="49" t="s">
        <v>243</v>
      </c>
      <c r="C243" s="50">
        <v>1</v>
      </c>
      <c r="D243" s="52" t="s">
        <v>98</v>
      </c>
      <c r="E243" s="51"/>
      <c r="F243" s="51">
        <f t="shared" si="27"/>
        <v>0</v>
      </c>
      <c r="G243" s="67"/>
    </row>
    <row r="244" spans="1:10" ht="163.19999999999999" customHeight="1" x14ac:dyDescent="0.2">
      <c r="A244" s="40">
        <f t="shared" si="26"/>
        <v>15.199999999999996</v>
      </c>
      <c r="B244" s="49" t="s">
        <v>244</v>
      </c>
      <c r="C244" s="50">
        <v>1</v>
      </c>
      <c r="D244" s="52" t="s">
        <v>98</v>
      </c>
      <c r="E244" s="51"/>
      <c r="F244" s="51">
        <f t="shared" si="27"/>
        <v>0</v>
      </c>
      <c r="G244" s="67"/>
    </row>
    <row r="245" spans="1:10" ht="26.4" customHeight="1" x14ac:dyDescent="0.2">
      <c r="A245" s="40">
        <f t="shared" si="26"/>
        <v>15.209999999999996</v>
      </c>
      <c r="B245" s="41" t="s">
        <v>245</v>
      </c>
      <c r="C245" s="50">
        <v>1</v>
      </c>
      <c r="D245" s="52" t="s">
        <v>98</v>
      </c>
      <c r="E245" s="51"/>
      <c r="F245" s="51">
        <f t="shared" si="27"/>
        <v>0</v>
      </c>
      <c r="G245" s="67"/>
    </row>
    <row r="246" spans="1:10" ht="20.399999999999999" customHeight="1" x14ac:dyDescent="0.2">
      <c r="A246" s="40">
        <f>+A245+0.01</f>
        <v>15.219999999999995</v>
      </c>
      <c r="B246" s="49" t="s">
        <v>246</v>
      </c>
      <c r="C246" s="50">
        <v>1</v>
      </c>
      <c r="D246" s="52" t="s">
        <v>247</v>
      </c>
      <c r="E246" s="51"/>
      <c r="F246" s="51">
        <f t="shared" si="27"/>
        <v>0</v>
      </c>
      <c r="G246" s="67"/>
    </row>
    <row r="247" spans="1:10" ht="25.2" x14ac:dyDescent="0.2">
      <c r="A247" s="40">
        <f t="shared" si="26"/>
        <v>15.229999999999995</v>
      </c>
      <c r="B247" s="49" t="s">
        <v>248</v>
      </c>
      <c r="C247" s="50">
        <f>6.97+2.78+2.48</f>
        <v>12.23</v>
      </c>
      <c r="D247" s="52" t="s">
        <v>93</v>
      </c>
      <c r="E247" s="51"/>
      <c r="F247" s="51">
        <f>+ROUND((C247*E247),2)</f>
        <v>0</v>
      </c>
      <c r="G247" s="53">
        <f>SUM(F225:F247)</f>
        <v>0</v>
      </c>
      <c r="I247" s="3">
        <v>238</v>
      </c>
      <c r="J247" s="81">
        <f>+G249/I247</f>
        <v>0</v>
      </c>
    </row>
    <row r="248" spans="1:10" ht="13.2" thickBot="1" x14ac:dyDescent="0.25">
      <c r="A248" s="68"/>
      <c r="B248" s="82"/>
      <c r="C248" s="37"/>
      <c r="E248" s="38"/>
      <c r="F248" s="38"/>
      <c r="G248" s="39"/>
    </row>
    <row r="249" spans="1:10" ht="13.5" customHeight="1" thickBot="1" x14ac:dyDescent="0.25">
      <c r="A249" s="83"/>
      <c r="B249" s="84"/>
      <c r="C249" s="85" t="s">
        <v>249</v>
      </c>
      <c r="D249" s="86"/>
      <c r="E249" s="87"/>
      <c r="F249" s="87"/>
      <c r="G249" s="88">
        <f>SUM(G13:G247)</f>
        <v>0</v>
      </c>
    </row>
    <row r="250" spans="1:10" ht="13.5" customHeight="1" x14ac:dyDescent="0.2">
      <c r="A250" s="89"/>
      <c r="B250" s="90"/>
      <c r="C250" s="91"/>
      <c r="D250" s="92"/>
      <c r="E250" s="93"/>
      <c r="F250" s="93"/>
      <c r="G250" s="94"/>
    </row>
    <row r="251" spans="1:10" ht="13.5" customHeight="1" thickBot="1" x14ac:dyDescent="0.25">
      <c r="A251" s="89"/>
      <c r="B251" s="90"/>
      <c r="C251" s="91"/>
      <c r="D251" s="92"/>
      <c r="E251" s="93"/>
      <c r="F251" s="93"/>
      <c r="G251" s="94"/>
    </row>
    <row r="252" spans="1:10" ht="13.5" customHeight="1" thickBot="1" x14ac:dyDescent="0.25">
      <c r="A252" s="83"/>
      <c r="B252" s="84"/>
      <c r="C252" s="95" t="s">
        <v>250</v>
      </c>
      <c r="D252" s="96"/>
      <c r="E252" s="97"/>
      <c r="F252" s="97"/>
      <c r="G252" s="98">
        <f>+G249</f>
        <v>0</v>
      </c>
    </row>
    <row r="253" spans="1:10" x14ac:dyDescent="0.2">
      <c r="A253" s="89"/>
      <c r="D253" s="99"/>
      <c r="E253" s="100"/>
      <c r="F253" s="38"/>
      <c r="G253" s="39"/>
    </row>
    <row r="254" spans="1:10" ht="14.25" customHeight="1" x14ac:dyDescent="0.25">
      <c r="A254" s="101" t="s">
        <v>251</v>
      </c>
      <c r="B254" s="102" t="s">
        <v>252</v>
      </c>
      <c r="C254" s="103"/>
      <c r="D254" s="104"/>
      <c r="E254" s="105"/>
      <c r="F254" s="106"/>
      <c r="G254" s="107"/>
    </row>
    <row r="255" spans="1:10" ht="13.2" x14ac:dyDescent="0.25">
      <c r="A255" s="72">
        <v>1</v>
      </c>
      <c r="B255" s="108" t="s">
        <v>253</v>
      </c>
      <c r="C255" s="109">
        <v>10</v>
      </c>
      <c r="D255" s="52" t="s">
        <v>254</v>
      </c>
      <c r="E255" s="110"/>
      <c r="F255" s="51"/>
      <c r="G255" s="111">
        <f t="shared" ref="G255:G260" si="28">+(C255/100)*G$252</f>
        <v>0</v>
      </c>
    </row>
    <row r="256" spans="1:10" ht="13.2" x14ac:dyDescent="0.25">
      <c r="A256" s="72">
        <v>2</v>
      </c>
      <c r="B256" s="108" t="s">
        <v>255</v>
      </c>
      <c r="C256" s="109">
        <v>5</v>
      </c>
      <c r="D256" s="52" t="s">
        <v>254</v>
      </c>
      <c r="E256" s="110"/>
      <c r="F256" s="51"/>
      <c r="G256" s="111">
        <f t="shared" si="28"/>
        <v>0</v>
      </c>
    </row>
    <row r="257" spans="1:9" ht="13.2" x14ac:dyDescent="0.25">
      <c r="A257" s="72">
        <v>3</v>
      </c>
      <c r="B257" s="108" t="s">
        <v>256</v>
      </c>
      <c r="C257" s="109">
        <v>3</v>
      </c>
      <c r="D257" s="52" t="s">
        <v>254</v>
      </c>
      <c r="E257" s="110"/>
      <c r="F257" s="51"/>
      <c r="G257" s="111">
        <f t="shared" si="28"/>
        <v>0</v>
      </c>
    </row>
    <row r="258" spans="1:9" ht="13.2" x14ac:dyDescent="0.25">
      <c r="A258" s="72">
        <v>4</v>
      </c>
      <c r="B258" s="108" t="s">
        <v>257</v>
      </c>
      <c r="C258" s="109">
        <v>3.6</v>
      </c>
      <c r="D258" s="52" t="s">
        <v>254</v>
      </c>
      <c r="E258" s="110"/>
      <c r="F258" s="51"/>
      <c r="G258" s="111">
        <f t="shared" si="28"/>
        <v>0</v>
      </c>
    </row>
    <row r="259" spans="1:9" ht="13.2" x14ac:dyDescent="0.25">
      <c r="A259" s="72">
        <v>5</v>
      </c>
      <c r="B259" s="108" t="s">
        <v>258</v>
      </c>
      <c r="C259" s="109">
        <v>1</v>
      </c>
      <c r="D259" s="52" t="s">
        <v>254</v>
      </c>
      <c r="E259" s="110"/>
      <c r="F259" s="51"/>
      <c r="G259" s="111">
        <f t="shared" si="28"/>
        <v>0</v>
      </c>
    </row>
    <row r="260" spans="1:9" ht="13.2" x14ac:dyDescent="0.25">
      <c r="A260" s="72">
        <v>6</v>
      </c>
      <c r="B260" s="108" t="s">
        <v>259</v>
      </c>
      <c r="C260" s="109">
        <v>1</v>
      </c>
      <c r="D260" s="52" t="s">
        <v>254</v>
      </c>
      <c r="E260" s="110"/>
      <c r="F260" s="51"/>
      <c r="G260" s="111">
        <f t="shared" si="28"/>
        <v>0</v>
      </c>
    </row>
    <row r="261" spans="1:9" ht="13.2" x14ac:dyDescent="0.25">
      <c r="A261" s="72">
        <v>7</v>
      </c>
      <c r="B261" s="108" t="s">
        <v>260</v>
      </c>
      <c r="C261" s="109">
        <v>1</v>
      </c>
      <c r="D261" s="52" t="s">
        <v>254</v>
      </c>
      <c r="E261" s="110"/>
      <c r="F261" s="51"/>
      <c r="G261" s="111">
        <f>+(C261/100)*G$252</f>
        <v>0</v>
      </c>
      <c r="I261" s="112"/>
    </row>
    <row r="262" spans="1:9" ht="13.2" x14ac:dyDescent="0.25">
      <c r="A262" s="72">
        <v>8</v>
      </c>
      <c r="B262" s="108" t="s">
        <v>261</v>
      </c>
      <c r="C262" s="109">
        <v>0.1</v>
      </c>
      <c r="D262" s="52" t="s">
        <v>254</v>
      </c>
      <c r="E262" s="110"/>
      <c r="F262" s="51"/>
      <c r="G262" s="111">
        <f>+(C262/100)*G$252</f>
        <v>0</v>
      </c>
    </row>
    <row r="263" spans="1:9" ht="13.2" x14ac:dyDescent="0.25">
      <c r="A263" s="72">
        <v>9</v>
      </c>
      <c r="B263" s="108" t="s">
        <v>262</v>
      </c>
      <c r="C263" s="109">
        <v>5</v>
      </c>
      <c r="D263" s="52" t="s">
        <v>254</v>
      </c>
      <c r="E263" s="110"/>
      <c r="F263" s="51"/>
      <c r="G263" s="111">
        <f>+(C263/100)*G$252</f>
        <v>0</v>
      </c>
    </row>
    <row r="264" spans="1:9" ht="13.2" x14ac:dyDescent="0.25">
      <c r="A264" s="113">
        <v>10</v>
      </c>
      <c r="B264" s="108" t="s">
        <v>263</v>
      </c>
      <c r="C264" s="109">
        <v>5</v>
      </c>
      <c r="D264" s="52" t="s">
        <v>254</v>
      </c>
      <c r="E264" s="110"/>
      <c r="F264" s="51"/>
      <c r="G264" s="111">
        <f t="shared" ref="G264:G265" si="29">+(C264/100)*G$252</f>
        <v>0</v>
      </c>
    </row>
    <row r="265" spans="1:9" ht="13.2" x14ac:dyDescent="0.25">
      <c r="A265" s="113">
        <v>11</v>
      </c>
      <c r="B265" s="108" t="s">
        <v>264</v>
      </c>
      <c r="C265" s="109">
        <v>1.5</v>
      </c>
      <c r="D265" s="52" t="s">
        <v>254</v>
      </c>
      <c r="E265" s="110"/>
      <c r="F265" s="51"/>
      <c r="G265" s="111">
        <f t="shared" si="29"/>
        <v>0</v>
      </c>
    </row>
    <row r="266" spans="1:9" ht="13.2" x14ac:dyDescent="0.25">
      <c r="A266" s="72"/>
      <c r="B266" s="108"/>
      <c r="C266" s="109"/>
      <c r="D266" s="52"/>
      <c r="E266" s="110"/>
      <c r="F266" s="51"/>
      <c r="G266" s="111"/>
    </row>
    <row r="267" spans="1:9" ht="13.5" customHeight="1" thickBot="1" x14ac:dyDescent="0.25">
      <c r="A267" s="114"/>
      <c r="B267" s="115"/>
      <c r="C267" s="99"/>
      <c r="E267" s="100"/>
      <c r="F267" s="38"/>
      <c r="G267" s="39"/>
    </row>
    <row r="268" spans="1:9" ht="13.5" customHeight="1" thickBot="1" x14ac:dyDescent="0.25">
      <c r="A268" s="116"/>
      <c r="B268" s="84"/>
      <c r="C268" s="95" t="s">
        <v>265</v>
      </c>
      <c r="D268" s="96"/>
      <c r="E268" s="97"/>
      <c r="F268" s="97"/>
      <c r="G268" s="98">
        <f>SUM(G255:G265)</f>
        <v>0</v>
      </c>
    </row>
    <row r="269" spans="1:9" ht="13.5" customHeight="1" thickBot="1" x14ac:dyDescent="0.25">
      <c r="A269" s="114"/>
      <c r="E269" s="38"/>
      <c r="F269" s="38"/>
      <c r="G269" s="39"/>
    </row>
    <row r="270" spans="1:9" ht="15" customHeight="1" thickBot="1" x14ac:dyDescent="0.3">
      <c r="A270" s="117"/>
      <c r="B270" s="118" t="s">
        <v>266</v>
      </c>
      <c r="C270" s="118"/>
      <c r="D270" s="118"/>
      <c r="E270" s="118"/>
      <c r="F270" s="119"/>
      <c r="G270" s="120">
        <f>+G252+G268</f>
        <v>0</v>
      </c>
    </row>
    <row r="271" spans="1:9" ht="13.2" thickBot="1" x14ac:dyDescent="0.25">
      <c r="A271" s="121"/>
      <c r="B271" s="122"/>
      <c r="C271" s="123"/>
      <c r="D271" s="122"/>
      <c r="E271" s="124"/>
      <c r="F271" s="124"/>
      <c r="G271" s="18"/>
    </row>
    <row r="272" spans="1:9" ht="15" customHeight="1" thickBot="1" x14ac:dyDescent="0.3">
      <c r="A272" s="117"/>
      <c r="B272" s="125" t="s">
        <v>267</v>
      </c>
      <c r="C272" s="125"/>
      <c r="D272" s="125"/>
      <c r="E272" s="126"/>
      <c r="F272" s="119" t="s">
        <v>268</v>
      </c>
      <c r="G272" s="120"/>
    </row>
    <row r="273" spans="1:7" ht="8.25" customHeight="1" x14ac:dyDescent="0.2">
      <c r="A273" s="127"/>
      <c r="B273" s="122"/>
      <c r="C273" s="123"/>
      <c r="D273" s="122"/>
      <c r="E273" s="124"/>
      <c r="F273" s="124"/>
      <c r="G273" s="128"/>
    </row>
    <row r="274" spans="1:7" x14ac:dyDescent="0.2">
      <c r="A274" s="129"/>
      <c r="B274" s="130"/>
      <c r="G274" s="131"/>
    </row>
    <row r="275" spans="1:7" x14ac:dyDescent="0.2">
      <c r="A275" s="129"/>
      <c r="G275" s="132"/>
    </row>
    <row r="276" spans="1:7" ht="16.2" x14ac:dyDescent="0.35">
      <c r="A276" s="133"/>
      <c r="B276" s="134" t="s">
        <v>269</v>
      </c>
      <c r="C276" s="135"/>
      <c r="D276" s="135"/>
      <c r="E276" s="135"/>
      <c r="F276" s="136"/>
      <c r="G276" s="137"/>
    </row>
    <row r="277" spans="1:7" ht="15" customHeight="1" x14ac:dyDescent="0.3">
      <c r="A277" s="138"/>
      <c r="B277" s="135"/>
      <c r="C277" s="135"/>
      <c r="D277" s="135"/>
      <c r="E277" s="135"/>
      <c r="F277" s="139"/>
      <c r="G277" s="137"/>
    </row>
    <row r="278" spans="1:7" ht="15.6" x14ac:dyDescent="0.3">
      <c r="B278" s="140"/>
      <c r="C278" s="135"/>
      <c r="D278" s="135"/>
      <c r="E278" s="135"/>
      <c r="F278" s="139"/>
      <c r="G278" s="137"/>
    </row>
    <row r="279" spans="1:7" ht="15.6" x14ac:dyDescent="0.3">
      <c r="B279" s="141"/>
      <c r="C279" s="135"/>
      <c r="D279" s="135"/>
      <c r="E279" s="135"/>
      <c r="F279" s="139"/>
      <c r="G279" s="137"/>
    </row>
    <row r="280" spans="1:7" ht="15.6" x14ac:dyDescent="0.3">
      <c r="B280" s="141"/>
      <c r="C280" s="135"/>
      <c r="D280" s="135"/>
      <c r="E280" s="135"/>
      <c r="F280" s="139"/>
      <c r="G280" s="137"/>
    </row>
    <row r="281" spans="1:7" ht="15.6" x14ac:dyDescent="0.3">
      <c r="B281" s="135"/>
      <c r="C281" s="135"/>
      <c r="D281" s="142"/>
      <c r="E281" s="142"/>
      <c r="F281" s="142"/>
      <c r="G281" s="137"/>
    </row>
    <row r="282" spans="1:7" ht="18.600000000000001" x14ac:dyDescent="0.45">
      <c r="B282" s="143" t="s">
        <v>270</v>
      </c>
      <c r="C282" s="144"/>
      <c r="D282" s="144"/>
      <c r="E282" s="145"/>
      <c r="F282" s="144"/>
      <c r="G282" s="137"/>
    </row>
    <row r="283" spans="1:7" ht="15.6" x14ac:dyDescent="0.3">
      <c r="B283" s="137"/>
      <c r="C283" s="137"/>
      <c r="D283" s="137"/>
      <c r="E283" s="146" t="s">
        <v>271</v>
      </c>
      <c r="F283" s="146"/>
      <c r="G283" s="146"/>
    </row>
    <row r="284" spans="1:7" ht="18.600000000000001" x14ac:dyDescent="0.45">
      <c r="B284" s="137"/>
      <c r="C284" s="144"/>
      <c r="D284" s="144"/>
      <c r="E284" s="147"/>
      <c r="F284" s="147"/>
      <c r="G284" s="147"/>
    </row>
    <row r="285" spans="1:7" ht="18.600000000000001" x14ac:dyDescent="0.45">
      <c r="B285" s="137"/>
      <c r="C285" s="144"/>
      <c r="D285" s="144"/>
      <c r="E285" s="147"/>
      <c r="F285" s="147"/>
      <c r="G285" s="147"/>
    </row>
    <row r="286" spans="1:7" ht="16.2" x14ac:dyDescent="0.3">
      <c r="B286" s="148"/>
      <c r="C286" s="149"/>
      <c r="D286" s="149"/>
      <c r="E286" s="149"/>
      <c r="F286" s="149"/>
      <c r="G286" s="149"/>
    </row>
    <row r="287" spans="1:7" x14ac:dyDescent="0.2">
      <c r="C287" s="3"/>
      <c r="D287" s="3"/>
      <c r="E287" s="3"/>
      <c r="F287" s="3"/>
      <c r="G287" s="3"/>
    </row>
    <row r="288" spans="1:7" x14ac:dyDescent="0.2">
      <c r="C288" s="3"/>
      <c r="D288" s="3"/>
      <c r="E288" s="3"/>
      <c r="F288" s="3"/>
      <c r="G288" s="3"/>
    </row>
    <row r="289" spans="3:7" x14ac:dyDescent="0.2">
      <c r="C289" s="3"/>
      <c r="D289" s="3"/>
      <c r="E289" s="3"/>
      <c r="F289" s="3"/>
      <c r="G289" s="3"/>
    </row>
    <row r="290" spans="3:7" x14ac:dyDescent="0.2">
      <c r="C290" s="3"/>
      <c r="D290" s="3"/>
      <c r="E290" s="3"/>
      <c r="F290" s="3"/>
      <c r="G290" s="3"/>
    </row>
    <row r="291" spans="3:7" x14ac:dyDescent="0.2">
      <c r="C291" s="3"/>
      <c r="D291" s="3"/>
      <c r="E291" s="3"/>
      <c r="F291" s="3"/>
      <c r="G291" s="3"/>
    </row>
    <row r="292" spans="3:7" x14ac:dyDescent="0.2">
      <c r="C292" s="3"/>
      <c r="D292" s="3"/>
      <c r="E292" s="3"/>
      <c r="F292" s="3"/>
      <c r="G292" s="3"/>
    </row>
    <row r="293" spans="3:7" x14ac:dyDescent="0.2">
      <c r="C293" s="3"/>
      <c r="D293" s="3"/>
      <c r="E293" s="3"/>
      <c r="F293" s="3"/>
      <c r="G293" s="3"/>
    </row>
    <row r="294" spans="3:7" x14ac:dyDescent="0.2">
      <c r="C294" s="3"/>
      <c r="D294" s="3"/>
      <c r="E294" s="3"/>
      <c r="F294" s="3"/>
      <c r="G294" s="3"/>
    </row>
    <row r="295" spans="3:7" x14ac:dyDescent="0.2">
      <c r="C295" s="3"/>
      <c r="D295" s="3"/>
      <c r="E295" s="3"/>
      <c r="F295" s="3"/>
      <c r="G295" s="3"/>
    </row>
    <row r="296" spans="3:7" x14ac:dyDescent="0.2">
      <c r="C296" s="3"/>
      <c r="D296" s="3"/>
      <c r="E296" s="3"/>
      <c r="F296" s="3"/>
      <c r="G296" s="3"/>
    </row>
    <row r="297" spans="3:7" x14ac:dyDescent="0.2">
      <c r="C297" s="3"/>
      <c r="D297" s="3"/>
      <c r="E297" s="3"/>
      <c r="F297" s="3"/>
      <c r="G297" s="3"/>
    </row>
    <row r="298" spans="3:7" x14ac:dyDescent="0.2">
      <c r="C298" s="3"/>
      <c r="D298" s="3"/>
      <c r="E298" s="3"/>
      <c r="F298" s="3"/>
      <c r="G298" s="3"/>
    </row>
    <row r="299" spans="3:7" x14ac:dyDescent="0.2">
      <c r="C299" s="3"/>
      <c r="D299" s="3"/>
      <c r="E299" s="38"/>
      <c r="F299" s="38"/>
      <c r="G299" s="150"/>
    </row>
    <row r="300" spans="3:7" x14ac:dyDescent="0.2">
      <c r="C300" s="3"/>
      <c r="D300" s="3"/>
      <c r="E300" s="38"/>
      <c r="F300" s="38"/>
      <c r="G300" s="150"/>
    </row>
    <row r="301" spans="3:7" x14ac:dyDescent="0.2">
      <c r="C301" s="3"/>
      <c r="D301" s="3"/>
      <c r="E301" s="38"/>
      <c r="F301" s="38"/>
      <c r="G301" s="150"/>
    </row>
    <row r="302" spans="3:7" x14ac:dyDescent="0.2">
      <c r="C302" s="3"/>
      <c r="D302" s="3"/>
      <c r="E302" s="38"/>
      <c r="F302" s="38"/>
      <c r="G302" s="150"/>
    </row>
    <row r="303" spans="3:7" x14ac:dyDescent="0.2">
      <c r="C303" s="3"/>
      <c r="D303" s="3"/>
      <c r="E303" s="38"/>
      <c r="F303" s="38"/>
      <c r="G303" s="150"/>
    </row>
    <row r="304" spans="3:7" x14ac:dyDescent="0.2">
      <c r="C304" s="3"/>
      <c r="D304" s="3"/>
      <c r="E304" s="38"/>
      <c r="F304" s="38"/>
      <c r="G304" s="150"/>
    </row>
  </sheetData>
  <mergeCells count="10">
    <mergeCell ref="B272:D272"/>
    <mergeCell ref="E283:G283"/>
    <mergeCell ref="E284:G284"/>
    <mergeCell ref="E285:G285"/>
    <mergeCell ref="A2:G2"/>
    <mergeCell ref="A3:G3"/>
    <mergeCell ref="A4:G4"/>
    <mergeCell ref="A5:G5"/>
    <mergeCell ref="A6:G6"/>
    <mergeCell ref="A7:G7"/>
  </mergeCells>
  <printOptions horizontalCentered="1"/>
  <pageMargins left="0.70866141732283472" right="0.70866141732283472" top="0.94488188976377963" bottom="0.74803149606299213" header="0.31496062992125984" footer="0.31496062992125984"/>
  <pageSetup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chocolatera</vt:lpstr>
      <vt:lpstr>chocolatera!Área_de_impresión</vt:lpstr>
      <vt:lpstr>chocolatera!Títulos_a_imprimir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manuel peguero martinez</dc:creator>
  <cp:lastModifiedBy>jose manuel peguero martinez</cp:lastModifiedBy>
  <dcterms:created xsi:type="dcterms:W3CDTF">2023-01-13T17:03:57Z</dcterms:created>
  <dcterms:modified xsi:type="dcterms:W3CDTF">2023-01-13T17:04:42Z</dcterms:modified>
</cp:coreProperties>
</file>