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IASTIRA CABRERA\Downloads\"/>
    </mc:Choice>
  </mc:AlternateContent>
  <xr:revisionPtr revIDLastSave="0" documentId="13_ncr:1_{02A75E29-D880-49CB-9F9D-5D855F8AF77D}" xr6:coauthVersionLast="47" xr6:coauthVersionMax="47" xr10:uidLastSave="{00000000-0000-0000-0000-000000000000}"/>
  <bookViews>
    <workbookView xWindow="-120" yWindow="-120" windowWidth="24240" windowHeight="13020" tabRatio="602" xr2:uid="{00000000-000D-0000-FFFF-FFFF00000000}"/>
  </bookViews>
  <sheets>
    <sheet name="T12023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1" l="1"/>
  <c r="H19" i="21"/>
  <c r="H20" i="21"/>
  <c r="H23" i="21"/>
  <c r="H28" i="21"/>
  <c r="H38" i="21"/>
  <c r="H43" i="21"/>
  <c r="H50" i="21"/>
  <c r="H57" i="21"/>
  <c r="H60" i="21"/>
  <c r="H62" i="21"/>
  <c r="H68" i="21"/>
  <c r="H70" i="21"/>
  <c r="H76" i="21"/>
  <c r="H81" i="21"/>
  <c r="H89" i="21"/>
  <c r="H90" i="21"/>
  <c r="D68" i="21" l="1"/>
  <c r="D23" i="21" l="1"/>
  <c r="D60" i="21" l="1"/>
  <c r="D90" i="21" l="1"/>
  <c r="D89" i="21"/>
  <c r="D76" i="21"/>
  <c r="D57" i="21" l="1"/>
  <c r="D13" i="21" l="1"/>
  <c r="G93" i="21" l="1"/>
  <c r="F88" i="21"/>
  <c r="E88" i="21"/>
  <c r="F87" i="21"/>
  <c r="E87" i="21"/>
  <c r="H87" i="21" s="1"/>
  <c r="F86" i="21"/>
  <c r="E86" i="21"/>
  <c r="H86" i="21" s="1"/>
  <c r="F85" i="21"/>
  <c r="E85" i="21"/>
  <c r="H85" i="21" s="1"/>
  <c r="F84" i="21"/>
  <c r="E84" i="21"/>
  <c r="H84" i="21" s="1"/>
  <c r="F83" i="21"/>
  <c r="E83" i="21"/>
  <c r="F82" i="21"/>
  <c r="E82" i="21"/>
  <c r="H82" i="21" s="1"/>
  <c r="D81" i="21"/>
  <c r="F80" i="21"/>
  <c r="E80" i="21"/>
  <c r="H80" i="21" s="1"/>
  <c r="F79" i="21"/>
  <c r="E79" i="21"/>
  <c r="H79" i="21" s="1"/>
  <c r="F78" i="21"/>
  <c r="E78" i="21"/>
  <c r="F77" i="21"/>
  <c r="E77" i="21"/>
  <c r="F75" i="21"/>
  <c r="E75" i="21"/>
  <c r="H75" i="21" s="1"/>
  <c r="F74" i="21"/>
  <c r="F73" i="21"/>
  <c r="E73" i="21"/>
  <c r="H73" i="21" s="1"/>
  <c r="F72" i="21"/>
  <c r="E72" i="21"/>
  <c r="H72" i="21" s="1"/>
  <c r="F71" i="21"/>
  <c r="E71" i="21"/>
  <c r="D70" i="21"/>
  <c r="F69" i="21"/>
  <c r="E69" i="21"/>
  <c r="H69" i="21" s="1"/>
  <c r="F67" i="21"/>
  <c r="E67" i="21"/>
  <c r="H67" i="21" s="1"/>
  <c r="F66" i="21"/>
  <c r="E66" i="21"/>
  <c r="H66" i="21" s="1"/>
  <c r="F65" i="21"/>
  <c r="E65" i="21"/>
  <c r="F64" i="21"/>
  <c r="E64" i="21"/>
  <c r="F63" i="21"/>
  <c r="E63" i="21"/>
  <c r="H63" i="21" s="1"/>
  <c r="D62" i="21"/>
  <c r="F61" i="21"/>
  <c r="E61" i="21"/>
  <c r="H61" i="21" s="1"/>
  <c r="F59" i="21"/>
  <c r="E59" i="21"/>
  <c r="H59" i="21" s="1"/>
  <c r="F58" i="21"/>
  <c r="E58" i="21"/>
  <c r="F56" i="21"/>
  <c r="E56" i="21"/>
  <c r="H56" i="21" s="1"/>
  <c r="F55" i="21"/>
  <c r="E55" i="21"/>
  <c r="F54" i="21"/>
  <c r="E54" i="21"/>
  <c r="H54" i="21" s="1"/>
  <c r="F53" i="21"/>
  <c r="E53" i="21"/>
  <c r="F52" i="21"/>
  <c r="F51" i="21"/>
  <c r="E51" i="21"/>
  <c r="H51" i="21" s="1"/>
  <c r="D50" i="21"/>
  <c r="F49" i="21"/>
  <c r="F48" i="21"/>
  <c r="F47" i="21"/>
  <c r="F46" i="21"/>
  <c r="F45" i="21"/>
  <c r="E45" i="21"/>
  <c r="H45" i="21" s="1"/>
  <c r="F44" i="21"/>
  <c r="E44" i="21"/>
  <c r="D43" i="21"/>
  <c r="F42" i="21"/>
  <c r="E42" i="21"/>
  <c r="H42" i="21" s="1"/>
  <c r="F41" i="21"/>
  <c r="E41" i="21"/>
  <c r="H41" i="21" s="1"/>
  <c r="F40" i="21"/>
  <c r="F39" i="21"/>
  <c r="E39" i="21"/>
  <c r="D38" i="21"/>
  <c r="F37" i="21"/>
  <c r="E37" i="21"/>
  <c r="H37" i="21" s="1"/>
  <c r="F36" i="21"/>
  <c r="F35" i="21"/>
  <c r="E35" i="21"/>
  <c r="H35" i="21" s="1"/>
  <c r="F34" i="21"/>
  <c r="E34" i="21"/>
  <c r="H34" i="21" s="1"/>
  <c r="F33" i="21"/>
  <c r="F32" i="21"/>
  <c r="E32" i="21"/>
  <c r="H32" i="21" s="1"/>
  <c r="F31" i="21"/>
  <c r="E31" i="21"/>
  <c r="H31" i="21" s="1"/>
  <c r="F30" i="21"/>
  <c r="E30" i="21"/>
  <c r="H30" i="21" s="1"/>
  <c r="F29" i="21"/>
  <c r="E29" i="21"/>
  <c r="D28" i="21"/>
  <c r="F27" i="21"/>
  <c r="E27" i="21"/>
  <c r="F26" i="21"/>
  <c r="E26" i="21"/>
  <c r="F25" i="21"/>
  <c r="E25" i="21"/>
  <c r="F24" i="21"/>
  <c r="E24" i="21"/>
  <c r="F22" i="21"/>
  <c r="E22" i="21"/>
  <c r="H22" i="21" s="1"/>
  <c r="F21" i="21"/>
  <c r="E21" i="21"/>
  <c r="H21" i="21" s="1"/>
  <c r="D20" i="21"/>
  <c r="D19" i="21"/>
  <c r="F18" i="21"/>
  <c r="F17" i="21"/>
  <c r="E17" i="21"/>
  <c r="H17" i="21" s="1"/>
  <c r="F16" i="21"/>
  <c r="F15" i="21"/>
  <c r="E15" i="21"/>
  <c r="F14" i="21"/>
  <c r="E14" i="21"/>
  <c r="F12" i="21"/>
  <c r="E12" i="21"/>
  <c r="F11" i="21"/>
  <c r="E11" i="21"/>
  <c r="H11" i="21" s="1"/>
  <c r="F10" i="21"/>
  <c r="E10" i="21"/>
  <c r="H10" i="21" s="1"/>
  <c r="F9" i="21"/>
  <c r="E9" i="21"/>
  <c r="H9" i="21" s="1"/>
  <c r="F8" i="21"/>
  <c r="E8" i="21"/>
  <c r="H8" i="21" s="1"/>
  <c r="F7" i="21"/>
  <c r="E7" i="21"/>
  <c r="G5" i="21"/>
  <c r="F5" i="21"/>
  <c r="F6" i="21" s="1"/>
  <c r="E5" i="21"/>
  <c r="H25" i="21" l="1"/>
  <c r="H12" i="21"/>
  <c r="H88" i="21"/>
  <c r="H77" i="21"/>
  <c r="H14" i="21"/>
  <c r="H27" i="21"/>
  <c r="H39" i="21"/>
  <c r="H53" i="21"/>
  <c r="H26" i="21"/>
  <c r="H24" i="21"/>
  <c r="H65" i="21"/>
  <c r="H78" i="21"/>
  <c r="H64" i="21"/>
  <c r="H15" i="21"/>
  <c r="H29" i="21"/>
  <c r="H55" i="21"/>
  <c r="H36" i="21"/>
  <c r="E6" i="21"/>
  <c r="H5" i="21"/>
  <c r="D5" i="21" s="1"/>
  <c r="H18" i="21"/>
  <c r="H7" i="21"/>
  <c r="H44" i="21"/>
  <c r="H58" i="21"/>
  <c r="H71" i="21"/>
  <c r="H83" i="21"/>
  <c r="H52" i="21"/>
  <c r="H40" i="21"/>
  <c r="H33" i="21"/>
  <c r="H48" i="21"/>
  <c r="H49" i="21"/>
  <c r="H16" i="21"/>
  <c r="H74" i="21"/>
  <c r="D74" i="21" s="1"/>
  <c r="H46" i="21"/>
  <c r="H47" i="21"/>
  <c r="E93" i="21"/>
  <c r="F93" i="21"/>
  <c r="G6" i="21"/>
  <c r="H6" i="21" l="1"/>
  <c r="H93" i="21"/>
  <c r="D75" i="21"/>
  <c r="D9" i="21"/>
  <c r="D61" i="21"/>
  <c r="D84" i="21"/>
  <c r="D31" i="21"/>
  <c r="D82" i="21"/>
  <c r="D58" i="21"/>
  <c r="D85" i="21"/>
  <c r="D52" i="21"/>
  <c r="D64" i="21"/>
  <c r="D42" i="21"/>
  <c r="D35" i="21"/>
  <c r="D27" i="21"/>
  <c r="D66" i="21"/>
  <c r="D54" i="21"/>
  <c r="D80" i="21"/>
  <c r="D63" i="21"/>
  <c r="D41" i="21"/>
  <c r="D87" i="21"/>
  <c r="D83" i="21"/>
  <c r="D17" i="21"/>
  <c r="D78" i="21"/>
  <c r="D77" i="21"/>
  <c r="D10" i="21"/>
  <c r="D24" i="21"/>
  <c r="D53" i="21"/>
  <c r="D56" i="21"/>
  <c r="D46" i="21"/>
  <c r="D67" i="21"/>
  <c r="D29" i="21"/>
  <c r="D47" i="21"/>
  <c r="D45" i="21"/>
  <c r="D73" i="21"/>
  <c r="D44" i="21"/>
  <c r="D65" i="21"/>
  <c r="D69" i="21"/>
  <c r="D49" i="21"/>
  <c r="D34" i="21"/>
  <c r="D16" i="21"/>
  <c r="D40" i="21"/>
  <c r="D39" i="21"/>
  <c r="D14" i="21"/>
  <c r="D79" i="21"/>
  <c r="D59" i="21"/>
  <c r="D48" i="21"/>
  <c r="D8" i="21"/>
  <c r="D37" i="21"/>
  <c r="D71" i="21"/>
  <c r="D88" i="21"/>
  <c r="D30" i="21"/>
  <c r="D18" i="21"/>
  <c r="D11" i="21"/>
  <c r="D26" i="21"/>
  <c r="D36" i="21"/>
  <c r="D15" i="21"/>
  <c r="D86" i="21"/>
  <c r="D7" i="21"/>
  <c r="D22" i="21"/>
  <c r="D21" i="21"/>
  <c r="D12" i="21"/>
  <c r="D55" i="21"/>
  <c r="D51" i="21"/>
  <c r="D72" i="21"/>
  <c r="D32" i="21"/>
  <c r="D25" i="21"/>
  <c r="D33" i="21"/>
  <c r="D92" i="21" l="1"/>
  <c r="D93" i="21" s="1"/>
  <c r="D94" i="21"/>
</calcChain>
</file>

<file path=xl/sharedStrings.xml><?xml version="1.0" encoding="utf-8"?>
<sst xmlns="http://schemas.openxmlformats.org/spreadsheetml/2006/main" count="94" uniqueCount="94">
  <si>
    <t>Cocinas Móviles</t>
  </si>
  <si>
    <t>Cocina Móvil 1-40</t>
  </si>
  <si>
    <t xml:space="preserve">Total de Comedores </t>
  </si>
  <si>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</si>
  <si>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</si>
  <si>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</si>
  <si>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</si>
  <si>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</si>
  <si>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</si>
  <si>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</si>
  <si>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</si>
  <si>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Bayaguana</t>
  </si>
  <si>
    <t>Sabana Grande de Boyá</t>
  </si>
  <si>
    <t>Monte Plata</t>
  </si>
  <si>
    <t>La Romana</t>
  </si>
  <si>
    <t>Quisqueya</t>
  </si>
  <si>
    <t>San Pedro De Macorís</t>
  </si>
  <si>
    <t>El Seibo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</si>
  <si>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</si>
  <si>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</si>
  <si>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</si>
  <si>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</si>
  <si>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</si>
  <si>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</si>
  <si>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</si>
  <si>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</si>
  <si>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</si>
  <si>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</si>
  <si>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</si>
  <si>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</si>
  <si>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</si>
  <si>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</si>
  <si>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</si>
  <si>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</si>
  <si>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</si>
  <si>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</si>
  <si>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</si>
  <si>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</si>
  <si>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</si>
  <si>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</si>
  <si>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</si>
  <si>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Dajabón</t>
  </si>
  <si>
    <t>Cristóbal</t>
  </si>
  <si>
    <t>Batey 6</t>
  </si>
  <si>
    <t>Total Comedores Productores</t>
  </si>
  <si>
    <t>Total</t>
  </si>
  <si>
    <t xml:space="preserve">ENERO </t>
  </si>
  <si>
    <t xml:space="preserve">FEBRERO </t>
  </si>
  <si>
    <t>MARZO</t>
  </si>
  <si>
    <t>TOTAL</t>
  </si>
  <si>
    <t>Galván</t>
  </si>
  <si>
    <t>Postrer Rio</t>
  </si>
  <si>
    <t>Enriquillo</t>
  </si>
  <si>
    <t>Arroyo Cano</t>
  </si>
  <si>
    <t>Paraiso</t>
  </si>
  <si>
    <t>El Yaque</t>
  </si>
  <si>
    <t>Hato Mayor</t>
  </si>
  <si>
    <t xml:space="preserve">Producción global de raciones cocidas </t>
  </si>
  <si>
    <t>Montecristi</t>
  </si>
  <si>
    <t>Loteria Nacional</t>
  </si>
  <si>
    <t xml:space="preserve">Higuey </t>
  </si>
  <si>
    <t xml:space="preserve">Mao Valverde </t>
  </si>
  <si>
    <t>Cotui</t>
  </si>
  <si>
    <t>Estebania</t>
  </si>
  <si>
    <t>UASD Barahona</t>
  </si>
  <si>
    <t>UASD San Juan De La Maguana</t>
  </si>
  <si>
    <t>Villa Gonzalez</t>
  </si>
  <si>
    <t>Mena</t>
  </si>
  <si>
    <t>Nizao</t>
  </si>
  <si>
    <t>UASD Sto.Dgo</t>
  </si>
  <si>
    <t xml:space="preserve">Villa Altagracia </t>
  </si>
  <si>
    <t>Herrera</t>
  </si>
  <si>
    <t>Las Yayas</t>
  </si>
  <si>
    <t>Polo</t>
  </si>
  <si>
    <t>La Cienega</t>
  </si>
  <si>
    <t xml:space="preserve">Cabral </t>
  </si>
  <si>
    <t>Peñon</t>
  </si>
  <si>
    <t>Jaquimeyes</t>
  </si>
  <si>
    <t>Oviedo</t>
  </si>
  <si>
    <t>UASD San Francisco</t>
  </si>
  <si>
    <t>CEA</t>
  </si>
  <si>
    <t>La Victoria</t>
  </si>
  <si>
    <t>Vicente Noble</t>
  </si>
  <si>
    <t>Jima Abajo</t>
  </si>
  <si>
    <t xml:space="preserve">Robert R. Cabral </t>
  </si>
  <si>
    <t>Padre las Casas</t>
  </si>
  <si>
    <t>Tamayo</t>
  </si>
  <si>
    <t>Cienfuegos</t>
  </si>
  <si>
    <t xml:space="preserve">Loma de Cabrera </t>
  </si>
  <si>
    <t xml:space="preserve">Rio San Juan </t>
  </si>
  <si>
    <t>El Pino</t>
  </si>
  <si>
    <t xml:space="preserve">Duverge </t>
  </si>
  <si>
    <t>Yamasa</t>
  </si>
  <si>
    <t>UASD Bonao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</si>
</sst>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sz val="11"/>
      <color rgb="FFFFFFFF"/>
      <name val="Times New Roman"/>
      <family val="1"/>
    </font>
    <font>
      <sz val="11"/>
      <color rgb="FF4C4747"/>
      <name val="Times New Roman"/>
      <family val="1"/>
    </font>
    <font>
      <b/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0E6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indexed="64"/>
      </right>
      <top/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 style="medium">
        <color rgb="FF7F7F7F"/>
      </left>
      <right/>
      <top/>
      <bottom style="medium">
        <color rgb="FF7F7F7F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4" fontId="0" fillId="0" borderId="0" xfId="0" applyNumberFormat="1"/>
    <xf numFmtId="43" fontId="0" fillId="0" borderId="0" xfId="1" applyFont="1"/>
    <xf numFmtId="164" fontId="0" fillId="7" borderId="1" xfId="0" applyNumberFormat="1" applyFill="1" applyBorder="1"/>
    <xf numFmtId="164" fontId="0" fillId="6" borderId="0" xfId="0" applyNumberFormat="1" applyFill="1" applyBorder="1"/>
    <xf numFmtId="164" fontId="4" fillId="7" borderId="14" xfId="0" applyNumberFormat="1" applyFont="1" applyFill="1" applyBorder="1" applyAlignment="1">
      <alignment vertical="center"/>
    </xf>
    <xf numFmtId="43" fontId="0" fillId="0" borderId="0" xfId="1" applyFont="1" applyAlignment="1">
      <alignment vertical="top"/>
    </xf>
    <xf numFmtId="0" fontId="0" fillId="0" borderId="0" xfId="0" applyAlignment="1">
      <alignment vertical="top"/>
    </xf>
    <xf numFmtId="0" fontId="0" fillId="5" borderId="1" xfId="0" applyFill="1" applyBorder="1" applyAlignment="1">
      <alignment horizontal="center" vertical="top"/>
    </xf>
    <xf numFmtId="0" fontId="2" fillId="0" borderId="10" xfId="0" applyFont="1" applyBorder="1" applyAlignment="1">
      <alignment horizontal="justify" vertical="top"/>
    </xf>
    <xf numFmtId="3" fontId="2" fillId="6" borderId="11" xfId="0" applyNumberFormat="1" applyFont="1" applyFill="1" applyBorder="1" applyAlignment="1">
      <alignment horizontal="right" vertical="top"/>
    </xf>
    <xf numFmtId="164" fontId="0" fillId="0" borderId="1" xfId="0" applyNumberFormat="1" applyBorder="1" applyAlignment="1"/>
    <xf numFmtId="0" fontId="1" fillId="2" borderId="1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right" vertical="top" wrapText="1"/>
    </xf>
    <xf numFmtId="164" fontId="0" fillId="7" borderId="1" xfId="0" applyNumberFormat="1" applyFill="1" applyBorder="1" applyAlignment="1"/>
    <xf numFmtId="0" fontId="2" fillId="6" borderId="4" xfId="0" applyFont="1" applyFill="1" applyBorder="1" applyAlignment="1">
      <alignment horizontal="justify"/>
    </xf>
    <xf numFmtId="3" fontId="2" fillId="6" borderId="5" xfId="0" applyNumberFormat="1" applyFont="1" applyFill="1" applyBorder="1" applyAlignment="1">
      <alignment horizontal="right" vertical="top"/>
    </xf>
    <xf numFmtId="0" fontId="2" fillId="4" borderId="4" xfId="0" applyFont="1" applyFill="1" applyBorder="1" applyAlignment="1">
      <alignment horizontal="justify"/>
    </xf>
    <xf numFmtId="3" fontId="2" fillId="4" borderId="5" xfId="0" applyNumberFormat="1" applyFont="1" applyFill="1" applyBorder="1" applyAlignment="1">
      <alignment horizontal="right" vertical="top"/>
    </xf>
    <xf numFmtId="0" fontId="2" fillId="6" borderId="4" xfId="0" applyFont="1" applyFill="1" applyBorder="1" applyAlignment="1">
      <alignment horizontal="justify" vertical="top"/>
    </xf>
    <xf numFmtId="0" fontId="3" fillId="2" borderId="13" xfId="0" applyFont="1" applyFill="1" applyBorder="1" applyAlignment="1">
      <alignment horizontal="justify" vertical="top"/>
    </xf>
    <xf numFmtId="3" fontId="3" fillId="2" borderId="2" xfId="0" applyNumberFormat="1" applyFont="1" applyFill="1" applyBorder="1" applyAlignment="1">
      <alignment horizontal="right" vertical="top"/>
    </xf>
    <xf numFmtId="0" fontId="3" fillId="6" borderId="0" xfId="0" applyFont="1" applyFill="1" applyBorder="1" applyAlignment="1">
      <alignment horizontal="justify" vertical="top"/>
    </xf>
    <xf numFmtId="3" fontId="3" fillId="6" borderId="0" xfId="0" applyNumberFormat="1" applyFont="1" applyFill="1" applyBorder="1" applyAlignment="1">
      <alignment horizontal="right" vertical="top"/>
    </xf>
    <xf numFmtId="164" fontId="0" fillId="0" borderId="1" xfId="0" applyNumberFormat="1" applyBorder="1" applyAlignment="1">
      <alignment vertical="top"/>
    </xf>
    <xf numFmtId="43" fontId="0" fillId="0" borderId="0" xfId="0" applyNumberFormat="1" applyAlignment="1">
      <alignment vertical="top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DE59"/>
      <color rgb="FF4C4747"/>
      <color rgb="FFE0E6ED"/>
      <color rgb="FF47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94"/>
  <sheetViews>
    <sheetView tabSelected="1" topLeftCell="B1" workbookViewId="0">
      <selection activeCell="B6" sqref="A6:B89"/>
    </sheetView>
  </sheetViews>
  <sheetFormatPr baseColWidth="10" defaultRowHeight="15" x14ac:dyDescent="0.25"/>
  <cols>
    <col min="1" max="1" width="0" hidden="1" customWidth="1"/>
    <col min="2" max="2" width="3.5703125" customWidth="1"/>
    <col min="3" max="3" width="25.140625" style="10" customWidth="1"/>
    <col min="4" max="4" width="13.7109375" style="10" customWidth="1"/>
    <col min="5" max="5" width="15.7109375" customWidth="1"/>
    <col min="6" max="6" width="15.5703125" customWidth="1"/>
    <col min="7" max="7" width="16.28515625" customWidth="1"/>
    <col min="8" max="8" width="16.85546875" customWidth="1"/>
    <col min="9" max="9" width="17.85546875" style="5" customWidth="1"/>
    <col min="10" max="10" width="18.7109375" customWidth="1"/>
    <col min="11" max="11" width="16.85546875" bestFit="1" customWidth="1"/>
    <col min="12" max="12" width="17.28515625" bestFit="1" customWidth="1"/>
  </cols>
  <sheetData>
    <row r="1" spans="2:11" x14ac:dyDescent="0.25">
      <c r="E1" s="4"/>
    </row>
    <row r="2" spans="2:11" ht="15.75" thickBot="1" x14ac:dyDescent="0.3">
      <c r="G2" s="5"/>
      <c r="H2" s="5"/>
    </row>
    <row r="3" spans="2:11" ht="15.75" thickBot="1" x14ac:dyDescent="0.3">
      <c r="C3" s="29" t="s">
        <v>57</v>
      </c>
      <c r="D3" s="30"/>
    </row>
    <row r="4" spans="2:11" ht="15.75" thickBot="1" x14ac:dyDescent="0.3">
      <c r="C4" s="31" t="s">
        <v>0</v>
      </c>
      <c r="D4" s="32"/>
      <c r="E4" s="11" t="s">
        <v>46</v>
      </c>
      <c r="F4" s="11" t="s">
        <v>47</v>
      </c>
      <c r="G4" s="11" t="s">
        <v>48</v>
      </c>
      <c r="H4" s="11" t="s">
        <v>49</v>
      </c>
    </row>
    <row r="5" spans="2:11" ht="15.75" thickBot="1" x14ac:dyDescent="0.3">
      <c r="C5" s="12" t="s">
        <v>1</v>
      </c>
      <c r="D5" s="13">
        <f>+H5</f>
        <v>651698</v>
      </c>
      <c r="E5" s="14">
        <f>50299+8265+12530+119794</f>
        <v>190888</v>
      </c>
      <c r="F5" s="14">
        <f>135601+49106+6495+11257</f>
        <v>202459</v>
      </c>
      <c r="G5" s="14">
        <f>186470+71881</f>
        <v>258351</v>
      </c>
      <c r="H5" s="1">
        <f>SUM(E5:G5)</f>
        <v>651698</v>
      </c>
      <c r="J5" s="3"/>
    </row>
    <row r="6" spans="2:11" ht="15.75" thickBot="1" x14ac:dyDescent="0.3">
      <c r="C6" s="15" t="s">
        <v>2</v>
      </c>
      <c r="D6" s="16"/>
      <c r="E6" s="8">
        <f>E5</f>
        <v>190888</v>
      </c>
      <c r="F6" s="17">
        <f>SUM(F5)</f>
        <v>202459</v>
      </c>
      <c r="G6" s="17">
        <f t="shared" ref="G6" si="0">SUM(G5)</f>
        <v>258351</v>
      </c>
      <c r="H6" s="6">
        <f>SUM(E6:G6)</f>
        <v>651698</v>
      </c>
      <c r="J6" s="3"/>
    </row>
    <row r="7" spans="2:11" x14ac:dyDescent="0.25">
      <c r="C7" s="18" t="s">
        <v>3</v>
      </c>
      <c r="D7" s="19">
        <f>+H7</f>
        <v>1095769</v>
      </c>
      <c r="E7" s="1">
        <f>253120+2200+80683</f>
        <v>336003</v>
      </c>
      <c r="F7" s="1">
        <f>231610+1660+127010</f>
        <v>360280</v>
      </c>
      <c r="G7" s="1">
        <v>399486</v>
      </c>
      <c r="H7" s="1">
        <f>SUM(E7:G7)</f>
        <v>1095769</v>
      </c>
      <c r="I7" s="9"/>
      <c r="J7" s="3"/>
      <c r="K7" s="2"/>
    </row>
    <row r="8" spans="2:11" x14ac:dyDescent="0.25">
      <c r="C8" s="20" t="s">
        <v>4</v>
      </c>
      <c r="D8" s="21">
        <f t="shared" ref="D8:D90" si="1">+H8</f>
        <v>158502</v>
      </c>
      <c r="E8" s="1">
        <f>5959+2115+22860</f>
        <v>30934</v>
      </c>
      <c r="F8" s="1">
        <f>5800+2405+42207</f>
        <v>50412</v>
      </c>
      <c r="G8" s="1">
        <v>77156</v>
      </c>
      <c r="H8" s="1">
        <f>SUM(E8:G8)</f>
        <v>158502</v>
      </c>
      <c r="I8" s="9"/>
      <c r="J8" s="3"/>
    </row>
    <row r="9" spans="2:11" s="10" customFormat="1" x14ac:dyDescent="0.25">
      <c r="B9"/>
      <c r="C9" s="22" t="s">
        <v>5</v>
      </c>
      <c r="D9" s="19">
        <f t="shared" si="1"/>
        <v>226131</v>
      </c>
      <c r="E9" s="27">
        <f>7510+50489</f>
        <v>57999</v>
      </c>
      <c r="F9" s="27">
        <f>9570+68416</f>
        <v>77986</v>
      </c>
      <c r="G9" s="27">
        <v>90146</v>
      </c>
      <c r="H9" s="1">
        <f>SUM(E9:G9)</f>
        <v>226131</v>
      </c>
      <c r="I9" s="9"/>
      <c r="J9" s="3"/>
    </row>
    <row r="10" spans="2:11" x14ac:dyDescent="0.25">
      <c r="C10" s="20" t="s">
        <v>6</v>
      </c>
      <c r="D10" s="21">
        <f t="shared" si="1"/>
        <v>185984</v>
      </c>
      <c r="E10" s="1">
        <f>3829+37646</f>
        <v>41475</v>
      </c>
      <c r="F10" s="1">
        <f>4440+60562</f>
        <v>65002</v>
      </c>
      <c r="G10" s="1">
        <v>79507</v>
      </c>
      <c r="H10" s="1">
        <f>SUM(E10:G10)</f>
        <v>185984</v>
      </c>
      <c r="I10" s="9"/>
      <c r="J10" s="3"/>
    </row>
    <row r="11" spans="2:11" s="10" customFormat="1" x14ac:dyDescent="0.25">
      <c r="B11"/>
      <c r="C11" s="22" t="s">
        <v>7</v>
      </c>
      <c r="D11" s="19">
        <f t="shared" si="1"/>
        <v>207250</v>
      </c>
      <c r="E11" s="27">
        <f>459+45419</f>
        <v>45878</v>
      </c>
      <c r="F11" s="27">
        <f>598+71779</f>
        <v>72377</v>
      </c>
      <c r="G11" s="27">
        <v>88995</v>
      </c>
      <c r="H11" s="1">
        <f>SUM(E11:G11)</f>
        <v>207250</v>
      </c>
      <c r="I11" s="9"/>
      <c r="J11" s="3"/>
    </row>
    <row r="12" spans="2:11" x14ac:dyDescent="0.25">
      <c r="C12" s="20" t="s">
        <v>8</v>
      </c>
      <c r="D12" s="21">
        <f t="shared" si="1"/>
        <v>224891</v>
      </c>
      <c r="E12" s="1">
        <f>450+643+51175</f>
        <v>52268</v>
      </c>
      <c r="F12" s="1">
        <f>2410+807+74681</f>
        <v>77898</v>
      </c>
      <c r="G12" s="1">
        <v>94725</v>
      </c>
      <c r="H12" s="1">
        <f>SUM(E12:G12)</f>
        <v>224891</v>
      </c>
      <c r="I12" s="9"/>
      <c r="J12" s="3"/>
    </row>
    <row r="13" spans="2:11" s="10" customFormat="1" x14ac:dyDescent="0.25">
      <c r="B13"/>
      <c r="C13" s="22" t="s">
        <v>84</v>
      </c>
      <c r="D13" s="19">
        <f>+H13</f>
        <v>0</v>
      </c>
      <c r="E13" s="27"/>
      <c r="F13" s="27"/>
      <c r="G13" s="27"/>
      <c r="H13" s="1">
        <f>SUM(E13:G13)</f>
        <v>0</v>
      </c>
      <c r="I13" s="9"/>
      <c r="J13" s="3"/>
    </row>
    <row r="14" spans="2:11" x14ac:dyDescent="0.25">
      <c r="C14" s="20" t="s">
        <v>9</v>
      </c>
      <c r="D14" s="21">
        <f t="shared" si="1"/>
        <v>168622</v>
      </c>
      <c r="E14" s="1">
        <f>806+37863+3000</f>
        <v>41669</v>
      </c>
      <c r="F14" s="1">
        <f>1018+57095</f>
        <v>58113</v>
      </c>
      <c r="G14" s="1">
        <v>68840</v>
      </c>
      <c r="H14" s="1">
        <f>SUM(E14:G14)</f>
        <v>168622</v>
      </c>
      <c r="I14" s="9"/>
      <c r="J14" s="3"/>
    </row>
    <row r="15" spans="2:11" x14ac:dyDescent="0.25">
      <c r="C15" s="22" t="s">
        <v>10</v>
      </c>
      <c r="D15" s="19">
        <f t="shared" si="1"/>
        <v>143110</v>
      </c>
      <c r="E15" s="1">
        <f>2970+641+27219</f>
        <v>30830</v>
      </c>
      <c r="F15" s="1">
        <f>3696+902+46104</f>
        <v>50702</v>
      </c>
      <c r="G15" s="1">
        <v>61578</v>
      </c>
      <c r="H15" s="1">
        <f>SUM(E15:G15)</f>
        <v>143110</v>
      </c>
      <c r="I15" s="9"/>
      <c r="J15" s="3"/>
    </row>
    <row r="16" spans="2:11" x14ac:dyDescent="0.25">
      <c r="C16" s="20" t="s">
        <v>71</v>
      </c>
      <c r="D16" s="21">
        <f>+H16</f>
        <v>34076</v>
      </c>
      <c r="E16" s="1"/>
      <c r="F16" s="1">
        <f>10+1115</f>
        <v>1125</v>
      </c>
      <c r="G16" s="1">
        <v>32951</v>
      </c>
      <c r="H16" s="1">
        <f>SUM(E16:G16)</f>
        <v>34076</v>
      </c>
      <c r="I16" s="9"/>
      <c r="J16" s="3"/>
    </row>
    <row r="17" spans="2:10" s="10" customFormat="1" x14ac:dyDescent="0.25">
      <c r="B17"/>
      <c r="C17" s="22" t="s">
        <v>59</v>
      </c>
      <c r="D17" s="19">
        <f t="shared" si="1"/>
        <v>60724</v>
      </c>
      <c r="E17" s="27">
        <f>209+11552+380+3379</f>
        <v>15520</v>
      </c>
      <c r="F17" s="27">
        <f>223+15056+486+4613</f>
        <v>20378</v>
      </c>
      <c r="G17" s="27">
        <v>24826</v>
      </c>
      <c r="H17" s="1">
        <f>SUM(E17:G17)</f>
        <v>60724</v>
      </c>
      <c r="I17" s="9"/>
      <c r="J17" s="3"/>
    </row>
    <row r="18" spans="2:10" x14ac:dyDescent="0.25">
      <c r="C18" s="20" t="s">
        <v>69</v>
      </c>
      <c r="D18" s="21">
        <f t="shared" si="1"/>
        <v>286607</v>
      </c>
      <c r="E18" s="1"/>
      <c r="F18" s="1">
        <f>6770+86772+25621</f>
        <v>119163</v>
      </c>
      <c r="G18" s="1">
        <v>167444</v>
      </c>
      <c r="H18" s="1">
        <f>SUM(E18:G18)</f>
        <v>286607</v>
      </c>
      <c r="I18" s="9"/>
      <c r="J18" s="3"/>
    </row>
    <row r="19" spans="2:10" x14ac:dyDescent="0.25">
      <c r="C19" s="22" t="s">
        <v>80</v>
      </c>
      <c r="D19" s="19">
        <f t="shared" si="1"/>
        <v>0</v>
      </c>
      <c r="E19" s="1"/>
      <c r="F19" s="1"/>
      <c r="G19" s="1"/>
      <c r="H19" s="1">
        <f>SUM(E19:G19)</f>
        <v>0</v>
      </c>
      <c r="I19" s="9"/>
      <c r="J19" s="3"/>
    </row>
    <row r="20" spans="2:10" x14ac:dyDescent="0.25">
      <c r="C20" s="20" t="s">
        <v>81</v>
      </c>
      <c r="D20" s="21">
        <f t="shared" si="1"/>
        <v>0</v>
      </c>
      <c r="E20" s="1"/>
      <c r="F20" s="1"/>
      <c r="G20" s="1"/>
      <c r="H20" s="1">
        <f>SUM(E20:G20)</f>
        <v>0</v>
      </c>
      <c r="I20" s="9"/>
      <c r="J20" s="3"/>
    </row>
    <row r="21" spans="2:10" x14ac:dyDescent="0.25">
      <c r="C21" s="22" t="s">
        <v>13</v>
      </c>
      <c r="D21" s="19">
        <f t="shared" si="1"/>
        <v>45058</v>
      </c>
      <c r="E21" s="1">
        <f>448+8715</f>
        <v>9163</v>
      </c>
      <c r="F21" s="1">
        <f>560+16225</f>
        <v>16785</v>
      </c>
      <c r="G21" s="1">
        <v>19110</v>
      </c>
      <c r="H21" s="1">
        <f>SUM(E21:G21)</f>
        <v>45058</v>
      </c>
      <c r="I21" s="9"/>
      <c r="J21" s="3"/>
    </row>
    <row r="22" spans="2:10" x14ac:dyDescent="0.25">
      <c r="C22" s="20" t="s">
        <v>11</v>
      </c>
      <c r="D22" s="21">
        <f>+H22</f>
        <v>50211</v>
      </c>
      <c r="E22" s="1">
        <f>330+12194</f>
        <v>12524</v>
      </c>
      <c r="F22" s="1">
        <f>418+15942</f>
        <v>16360</v>
      </c>
      <c r="G22" s="1">
        <v>21327</v>
      </c>
      <c r="H22" s="1">
        <f>SUM(E22:G22)</f>
        <v>50211</v>
      </c>
      <c r="I22" s="9"/>
      <c r="J22" s="3"/>
    </row>
    <row r="23" spans="2:10" x14ac:dyDescent="0.25">
      <c r="C23" s="20" t="s">
        <v>92</v>
      </c>
      <c r="D23" s="21">
        <f>+H23</f>
        <v>0</v>
      </c>
      <c r="E23" s="1"/>
      <c r="F23" s="1"/>
      <c r="G23" s="1"/>
      <c r="H23" s="1">
        <f>SUM(E23:G23)</f>
        <v>0</v>
      </c>
      <c r="I23" s="9"/>
      <c r="J23" s="3"/>
    </row>
    <row r="24" spans="2:10" s="10" customFormat="1" x14ac:dyDescent="0.25">
      <c r="B24"/>
      <c r="C24" s="22" t="s">
        <v>12</v>
      </c>
      <c r="D24" s="19">
        <f t="shared" si="1"/>
        <v>53947</v>
      </c>
      <c r="E24" s="27">
        <f>249+13251</f>
        <v>13500</v>
      </c>
      <c r="F24" s="27">
        <f>319+18324</f>
        <v>18643</v>
      </c>
      <c r="G24" s="27">
        <v>21804</v>
      </c>
      <c r="H24" s="1">
        <f>SUM(E24:G24)</f>
        <v>53947</v>
      </c>
      <c r="I24" s="9"/>
      <c r="J24" s="3"/>
    </row>
    <row r="25" spans="2:10" x14ac:dyDescent="0.25">
      <c r="C25" s="20" t="s">
        <v>14</v>
      </c>
      <c r="D25" s="21">
        <f t="shared" si="1"/>
        <v>30951</v>
      </c>
      <c r="E25" s="1">
        <f>259+6110</f>
        <v>6369</v>
      </c>
      <c r="F25" s="1">
        <f>298+11395</f>
        <v>11693</v>
      </c>
      <c r="G25" s="1">
        <v>12889</v>
      </c>
      <c r="H25" s="1">
        <f>SUM(E25:G25)</f>
        <v>30951</v>
      </c>
      <c r="I25" s="9"/>
      <c r="J25" s="3"/>
    </row>
    <row r="26" spans="2:10" x14ac:dyDescent="0.25">
      <c r="C26" s="22" t="s">
        <v>17</v>
      </c>
      <c r="D26" s="19">
        <f t="shared" si="1"/>
        <v>40196</v>
      </c>
      <c r="E26" s="1">
        <f>212+8861+50</f>
        <v>9123</v>
      </c>
      <c r="F26" s="1">
        <f>252+12429</f>
        <v>12681</v>
      </c>
      <c r="G26" s="1">
        <v>18392</v>
      </c>
      <c r="H26" s="1">
        <f>SUM(E26:G26)</f>
        <v>40196</v>
      </c>
      <c r="I26" s="9"/>
      <c r="J26" s="3"/>
    </row>
    <row r="27" spans="2:10" x14ac:dyDescent="0.25">
      <c r="C27" s="20" t="s">
        <v>56</v>
      </c>
      <c r="D27" s="21">
        <f t="shared" si="1"/>
        <v>96314</v>
      </c>
      <c r="E27" s="1">
        <f>180+23767</f>
        <v>23947</v>
      </c>
      <c r="F27" s="1">
        <f>228+33272</f>
        <v>33500</v>
      </c>
      <c r="G27" s="1">
        <v>38867</v>
      </c>
      <c r="H27" s="1">
        <f>SUM(E27:G27)</f>
        <v>96314</v>
      </c>
      <c r="I27" s="9"/>
      <c r="J27" s="3"/>
    </row>
    <row r="28" spans="2:10" x14ac:dyDescent="0.25">
      <c r="C28" s="22" t="s">
        <v>60</v>
      </c>
      <c r="D28" s="19">
        <f t="shared" si="1"/>
        <v>0</v>
      </c>
      <c r="E28" s="1"/>
      <c r="F28" s="1"/>
      <c r="G28" s="1"/>
      <c r="H28" s="1">
        <f>SUM(E28:G28)</f>
        <v>0</v>
      </c>
      <c r="I28" s="9"/>
      <c r="J28" s="3"/>
    </row>
    <row r="29" spans="2:10" x14ac:dyDescent="0.25">
      <c r="C29" s="20" t="s">
        <v>15</v>
      </c>
      <c r="D29" s="21">
        <f t="shared" si="1"/>
        <v>59855</v>
      </c>
      <c r="E29" s="1">
        <f>220+14392</f>
        <v>14612</v>
      </c>
      <c r="F29" s="1">
        <f>256+19444</f>
        <v>19700</v>
      </c>
      <c r="G29" s="1">
        <v>25543</v>
      </c>
      <c r="H29" s="1">
        <f>SUM(E29:G29)</f>
        <v>59855</v>
      </c>
      <c r="I29" s="9"/>
      <c r="J29" s="3"/>
    </row>
    <row r="30" spans="2:10" s="10" customFormat="1" x14ac:dyDescent="0.25">
      <c r="B30"/>
      <c r="C30" s="22" t="s">
        <v>16</v>
      </c>
      <c r="D30" s="19">
        <f t="shared" si="1"/>
        <v>66275</v>
      </c>
      <c r="E30" s="27">
        <f>490+14849+500</f>
        <v>15839</v>
      </c>
      <c r="F30" s="27">
        <f>580+23004</f>
        <v>23584</v>
      </c>
      <c r="G30" s="27">
        <v>26852</v>
      </c>
      <c r="H30" s="1">
        <f>SUM(E30:G30)</f>
        <v>66275</v>
      </c>
      <c r="I30" s="9"/>
      <c r="J30" s="3"/>
    </row>
    <row r="31" spans="2:10" x14ac:dyDescent="0.25">
      <c r="C31" s="20" t="s">
        <v>18</v>
      </c>
      <c r="D31" s="21">
        <f t="shared" si="1"/>
        <v>134403</v>
      </c>
      <c r="E31" s="1">
        <f>262+27585</f>
        <v>27847</v>
      </c>
      <c r="F31" s="1">
        <f>330+45137</f>
        <v>45467</v>
      </c>
      <c r="G31" s="1">
        <v>61089</v>
      </c>
      <c r="H31" s="1">
        <f>SUM(E31:G31)</f>
        <v>134403</v>
      </c>
      <c r="I31" s="9"/>
      <c r="J31" s="3"/>
    </row>
    <row r="32" spans="2:10" s="10" customFormat="1" x14ac:dyDescent="0.25">
      <c r="B32"/>
      <c r="C32" s="22" t="s">
        <v>70</v>
      </c>
      <c r="D32" s="19">
        <f>+H32</f>
        <v>53587</v>
      </c>
      <c r="E32" s="27">
        <f>390+12975</f>
        <v>13365</v>
      </c>
      <c r="F32" s="27">
        <f>494+15796</f>
        <v>16290</v>
      </c>
      <c r="G32" s="27">
        <v>23932</v>
      </c>
      <c r="H32" s="1">
        <f>SUM(E32:G32)</f>
        <v>53587</v>
      </c>
      <c r="I32" s="9"/>
      <c r="J32" s="3"/>
    </row>
    <row r="33" spans="2:10" s="10" customFormat="1" x14ac:dyDescent="0.25">
      <c r="B33"/>
      <c r="C33" s="20" t="s">
        <v>68</v>
      </c>
      <c r="D33" s="21">
        <f t="shared" ref="D33" si="2">+H33</f>
        <v>16641</v>
      </c>
      <c r="E33" s="27"/>
      <c r="F33" s="27">
        <f>84+2575</f>
        <v>2659</v>
      </c>
      <c r="G33" s="27">
        <v>13982</v>
      </c>
      <c r="H33" s="1">
        <f>SUM(E33:G33)</f>
        <v>16641</v>
      </c>
      <c r="I33" s="9"/>
      <c r="J33" s="3"/>
    </row>
    <row r="34" spans="2:10" s="10" customFormat="1" x14ac:dyDescent="0.25">
      <c r="B34"/>
      <c r="C34" s="22" t="s">
        <v>19</v>
      </c>
      <c r="D34" s="19">
        <f t="shared" si="1"/>
        <v>95582</v>
      </c>
      <c r="E34" s="27">
        <f>2900+233+21085</f>
        <v>24218</v>
      </c>
      <c r="F34" s="27">
        <f>3300+311+28533</f>
        <v>32144</v>
      </c>
      <c r="G34" s="27">
        <v>39220</v>
      </c>
      <c r="H34" s="1">
        <f>SUM(E34:G34)</f>
        <v>95582</v>
      </c>
      <c r="I34" s="9"/>
      <c r="J34" s="3"/>
    </row>
    <row r="35" spans="2:10" s="10" customFormat="1" x14ac:dyDescent="0.25">
      <c r="B35"/>
      <c r="C35" s="20" t="s">
        <v>20</v>
      </c>
      <c r="D35" s="21">
        <f t="shared" si="1"/>
        <v>86371</v>
      </c>
      <c r="E35" s="27">
        <f>645+360+20335</f>
        <v>21340</v>
      </c>
      <c r="F35" s="27">
        <f>817+418+27949</f>
        <v>29184</v>
      </c>
      <c r="G35" s="27">
        <v>35847</v>
      </c>
      <c r="H35" s="1">
        <f>SUM(E35:G35)</f>
        <v>86371</v>
      </c>
      <c r="I35" s="9"/>
      <c r="J35" s="3"/>
    </row>
    <row r="36" spans="2:10" s="10" customFormat="1" x14ac:dyDescent="0.25">
      <c r="B36"/>
      <c r="C36" s="22" t="s">
        <v>72</v>
      </c>
      <c r="D36" s="19">
        <f>+H36</f>
        <v>11302</v>
      </c>
      <c r="E36" s="27"/>
      <c r="F36" s="27">
        <f>76+1943</f>
        <v>2019</v>
      </c>
      <c r="G36" s="27">
        <v>9283</v>
      </c>
      <c r="H36" s="1">
        <f>SUM(E36:G36)</f>
        <v>11302</v>
      </c>
      <c r="I36" s="9"/>
      <c r="J36" s="3"/>
    </row>
    <row r="37" spans="2:10" s="10" customFormat="1" x14ac:dyDescent="0.25">
      <c r="B37"/>
      <c r="C37" s="20" t="s">
        <v>63</v>
      </c>
      <c r="D37" s="21">
        <f t="shared" si="1"/>
        <v>88545</v>
      </c>
      <c r="E37" s="27">
        <f>261+21359+2728</f>
        <v>24348</v>
      </c>
      <c r="F37" s="27">
        <f>397+28500</f>
        <v>28897</v>
      </c>
      <c r="G37" s="27">
        <v>35300</v>
      </c>
      <c r="H37" s="1">
        <f>SUM(E37:G37)</f>
        <v>88545</v>
      </c>
      <c r="I37" s="9"/>
      <c r="J37" s="3"/>
    </row>
    <row r="38" spans="2:10" s="10" customFormat="1" x14ac:dyDescent="0.25">
      <c r="B38"/>
      <c r="C38" s="22" t="s">
        <v>85</v>
      </c>
      <c r="D38" s="19">
        <f t="shared" si="1"/>
        <v>0</v>
      </c>
      <c r="E38" s="27"/>
      <c r="F38" s="27"/>
      <c r="G38" s="27"/>
      <c r="H38" s="1">
        <f>SUM(E38:G38)</f>
        <v>0</v>
      </c>
      <c r="I38" s="9"/>
      <c r="J38" s="3"/>
    </row>
    <row r="39" spans="2:10" s="10" customFormat="1" x14ac:dyDescent="0.25">
      <c r="B39"/>
      <c r="C39" s="20" t="s">
        <v>21</v>
      </c>
      <c r="D39" s="21">
        <f t="shared" si="1"/>
        <v>140308</v>
      </c>
      <c r="E39" s="27">
        <f>1545+27595</f>
        <v>29140</v>
      </c>
      <c r="F39" s="27">
        <f>2240+44245</f>
        <v>46485</v>
      </c>
      <c r="G39" s="27">
        <v>64683</v>
      </c>
      <c r="H39" s="1">
        <f>SUM(E39:G39)</f>
        <v>140308</v>
      </c>
      <c r="I39" s="9"/>
      <c r="J39" s="3"/>
    </row>
    <row r="40" spans="2:10" s="10" customFormat="1" x14ac:dyDescent="0.25">
      <c r="B40"/>
      <c r="C40" s="22" t="s">
        <v>64</v>
      </c>
      <c r="D40" s="19">
        <f t="shared" si="1"/>
        <v>16188</v>
      </c>
      <c r="E40" s="27"/>
      <c r="F40" s="27">
        <f>428+5380</f>
        <v>5808</v>
      </c>
      <c r="G40" s="27">
        <v>10380</v>
      </c>
      <c r="H40" s="1">
        <f>SUM(E40:G40)</f>
        <v>16188</v>
      </c>
      <c r="I40" s="9"/>
      <c r="J40" s="3"/>
    </row>
    <row r="41" spans="2:10" s="10" customFormat="1" x14ac:dyDescent="0.25">
      <c r="B41"/>
      <c r="C41" s="20" t="s">
        <v>52</v>
      </c>
      <c r="D41" s="21">
        <f t="shared" si="1"/>
        <v>58057</v>
      </c>
      <c r="E41" s="27">
        <f>228+13895</f>
        <v>14123</v>
      </c>
      <c r="F41" s="27">
        <f>318+19651</f>
        <v>19969</v>
      </c>
      <c r="G41" s="27">
        <v>23965</v>
      </c>
      <c r="H41" s="1">
        <f>SUM(E41:G41)</f>
        <v>58057</v>
      </c>
      <c r="I41" s="9"/>
      <c r="J41" s="3"/>
    </row>
    <row r="42" spans="2:10" s="10" customFormat="1" x14ac:dyDescent="0.25">
      <c r="B42"/>
      <c r="C42" s="22" t="s">
        <v>54</v>
      </c>
      <c r="D42" s="19">
        <f t="shared" si="1"/>
        <v>41327</v>
      </c>
      <c r="E42" s="27">
        <f>375+10011</f>
        <v>10386</v>
      </c>
      <c r="F42" s="27">
        <f>485+13130</f>
        <v>13615</v>
      </c>
      <c r="G42" s="27">
        <v>17326</v>
      </c>
      <c r="H42" s="1">
        <f>SUM(E42:G42)</f>
        <v>41327</v>
      </c>
      <c r="I42" s="9"/>
      <c r="J42" s="3"/>
    </row>
    <row r="43" spans="2:10" s="10" customFormat="1" x14ac:dyDescent="0.25">
      <c r="B43"/>
      <c r="C43" s="20" t="s">
        <v>73</v>
      </c>
      <c r="D43" s="21">
        <f t="shared" si="1"/>
        <v>4130</v>
      </c>
      <c r="E43" s="27"/>
      <c r="F43" s="27"/>
      <c r="G43" s="27">
        <v>4130</v>
      </c>
      <c r="H43" s="1">
        <f>SUM(E43:G43)</f>
        <v>4130</v>
      </c>
      <c r="I43" s="9"/>
      <c r="J43" s="3"/>
    </row>
    <row r="44" spans="2:10" s="10" customFormat="1" x14ac:dyDescent="0.25">
      <c r="B44"/>
      <c r="C44" s="22" t="s">
        <v>43</v>
      </c>
      <c r="D44" s="19">
        <f t="shared" si="1"/>
        <v>66394</v>
      </c>
      <c r="E44" s="27">
        <f>270+15605</f>
        <v>15875</v>
      </c>
      <c r="F44" s="27">
        <f>414+22593</f>
        <v>23007</v>
      </c>
      <c r="G44" s="27">
        <v>27512</v>
      </c>
      <c r="H44" s="1">
        <f>SUM(E44:G44)</f>
        <v>66394</v>
      </c>
      <c r="I44" s="9"/>
      <c r="J44" s="3"/>
    </row>
    <row r="45" spans="2:10" s="10" customFormat="1" x14ac:dyDescent="0.25">
      <c r="B45"/>
      <c r="C45" s="20" t="s">
        <v>74</v>
      </c>
      <c r="D45" s="21">
        <f t="shared" si="1"/>
        <v>40817</v>
      </c>
      <c r="E45" s="27">
        <f>240+6364</f>
        <v>6604</v>
      </c>
      <c r="F45" s="27">
        <f>321+12959</f>
        <v>13280</v>
      </c>
      <c r="G45" s="27">
        <v>20933</v>
      </c>
      <c r="H45" s="1">
        <f>SUM(E45:G45)</f>
        <v>40817</v>
      </c>
      <c r="I45" s="9"/>
      <c r="J45" s="3"/>
    </row>
    <row r="46" spans="2:10" s="10" customFormat="1" x14ac:dyDescent="0.25">
      <c r="B46"/>
      <c r="C46" s="22" t="s">
        <v>75</v>
      </c>
      <c r="D46" s="19">
        <f>+H46</f>
        <v>31999</v>
      </c>
      <c r="E46" s="27"/>
      <c r="F46" s="27">
        <f>90+5262</f>
        <v>5352</v>
      </c>
      <c r="G46" s="27">
        <v>26647</v>
      </c>
      <c r="H46" s="1">
        <f>SUM(E46:G46)</f>
        <v>31999</v>
      </c>
      <c r="I46" s="9"/>
      <c r="J46" s="3"/>
    </row>
    <row r="47" spans="2:10" s="10" customFormat="1" x14ac:dyDescent="0.25">
      <c r="B47"/>
      <c r="C47" s="20" t="s">
        <v>76</v>
      </c>
      <c r="D47" s="21">
        <f>+H47</f>
        <v>21971</v>
      </c>
      <c r="E47" s="27"/>
      <c r="F47" s="27">
        <f>114+2886</f>
        <v>3000</v>
      </c>
      <c r="G47" s="27">
        <v>18971</v>
      </c>
      <c r="H47" s="1">
        <f>SUM(E47:G47)</f>
        <v>21971</v>
      </c>
      <c r="I47" s="9"/>
      <c r="J47" s="3"/>
    </row>
    <row r="48" spans="2:10" s="10" customFormat="1" x14ac:dyDescent="0.25">
      <c r="B48"/>
      <c r="C48" s="22" t="s">
        <v>77</v>
      </c>
      <c r="D48" s="19">
        <f>+H48</f>
        <v>21027</v>
      </c>
      <c r="E48" s="27"/>
      <c r="F48" s="27">
        <f>75+3170</f>
        <v>3245</v>
      </c>
      <c r="G48" s="27">
        <v>17782</v>
      </c>
      <c r="H48" s="1">
        <f>SUM(E48:G48)</f>
        <v>21027</v>
      </c>
      <c r="I48" s="9"/>
      <c r="J48" s="3"/>
    </row>
    <row r="49" spans="2:10" s="10" customFormat="1" x14ac:dyDescent="0.25">
      <c r="B49"/>
      <c r="C49" s="20" t="s">
        <v>67</v>
      </c>
      <c r="D49" s="21">
        <f>+H49</f>
        <v>18815</v>
      </c>
      <c r="E49" s="27"/>
      <c r="F49" s="27">
        <f>73+3092</f>
        <v>3165</v>
      </c>
      <c r="G49" s="27">
        <v>15650</v>
      </c>
      <c r="H49" s="1">
        <f>SUM(E49:G49)</f>
        <v>18815</v>
      </c>
      <c r="I49" s="9"/>
      <c r="J49" s="3"/>
    </row>
    <row r="50" spans="2:10" s="10" customFormat="1" x14ac:dyDescent="0.25">
      <c r="B50"/>
      <c r="C50" s="22" t="s">
        <v>82</v>
      </c>
      <c r="D50" s="19">
        <f>+H50</f>
        <v>0</v>
      </c>
      <c r="E50" s="27"/>
      <c r="F50" s="27"/>
      <c r="G50" s="27"/>
      <c r="H50" s="1">
        <f>SUM(E50:G50)</f>
        <v>0</v>
      </c>
      <c r="I50" s="9"/>
      <c r="J50" s="3"/>
    </row>
    <row r="51" spans="2:10" s="10" customFormat="1" x14ac:dyDescent="0.25">
      <c r="B51"/>
      <c r="C51" s="20" t="s">
        <v>22</v>
      </c>
      <c r="D51" s="21">
        <f t="shared" si="1"/>
        <v>112996</v>
      </c>
      <c r="E51" s="27">
        <f>1788+520+26790</f>
        <v>29098</v>
      </c>
      <c r="F51" s="27">
        <f>2114+668+34702</f>
        <v>37484</v>
      </c>
      <c r="G51" s="27">
        <v>46414</v>
      </c>
      <c r="H51" s="1">
        <f>SUM(E51:G51)</f>
        <v>112996</v>
      </c>
      <c r="I51" s="9"/>
      <c r="J51" s="3"/>
    </row>
    <row r="52" spans="2:10" s="10" customFormat="1" ht="13.5" customHeight="1" x14ac:dyDescent="0.25">
      <c r="B52"/>
      <c r="C52" s="22" t="s">
        <v>65</v>
      </c>
      <c r="D52" s="19">
        <f t="shared" si="1"/>
        <v>12845</v>
      </c>
      <c r="E52" s="27"/>
      <c r="F52" s="27">
        <f>105+2270</f>
        <v>2375</v>
      </c>
      <c r="G52" s="27">
        <v>10470</v>
      </c>
      <c r="H52" s="1">
        <f>SUM(E52:G52)</f>
        <v>12845</v>
      </c>
      <c r="I52" s="9"/>
      <c r="J52" s="3"/>
    </row>
    <row r="53" spans="2:10" s="10" customFormat="1" x14ac:dyDescent="0.25">
      <c r="B53"/>
      <c r="C53" s="20" t="s">
        <v>55</v>
      </c>
      <c r="D53" s="21">
        <f t="shared" si="1"/>
        <v>16571</v>
      </c>
      <c r="E53" s="27">
        <f>131+4234</f>
        <v>4365</v>
      </c>
      <c r="F53" s="27">
        <f>155+5356</f>
        <v>5511</v>
      </c>
      <c r="G53" s="27">
        <v>6695</v>
      </c>
      <c r="H53" s="1">
        <f>SUM(E53:G53)</f>
        <v>16571</v>
      </c>
      <c r="I53" s="9"/>
      <c r="J53" s="3"/>
    </row>
    <row r="54" spans="2:10" s="10" customFormat="1" x14ac:dyDescent="0.25">
      <c r="B54"/>
      <c r="C54" s="22" t="s">
        <v>24</v>
      </c>
      <c r="D54" s="19">
        <f t="shared" si="1"/>
        <v>20281</v>
      </c>
      <c r="E54" s="27">
        <f>150+5155</f>
        <v>5305</v>
      </c>
      <c r="F54" s="27">
        <f>190+6550</f>
        <v>6740</v>
      </c>
      <c r="G54" s="27">
        <v>8236</v>
      </c>
      <c r="H54" s="1">
        <f>SUM(E54:G54)</f>
        <v>20281</v>
      </c>
      <c r="I54" s="9"/>
      <c r="J54" s="3"/>
    </row>
    <row r="55" spans="2:10" s="10" customFormat="1" x14ac:dyDescent="0.25">
      <c r="B55"/>
      <c r="C55" s="20" t="s">
        <v>53</v>
      </c>
      <c r="D55" s="21">
        <f t="shared" si="1"/>
        <v>16804</v>
      </c>
      <c r="E55" s="27">
        <f>120+4292</f>
        <v>4412</v>
      </c>
      <c r="F55" s="27">
        <f>152+5427</f>
        <v>5579</v>
      </c>
      <c r="G55" s="27">
        <v>6813</v>
      </c>
      <c r="H55" s="1">
        <f>SUM(E55:G55)</f>
        <v>16804</v>
      </c>
      <c r="I55" s="9"/>
      <c r="J55" s="3"/>
    </row>
    <row r="56" spans="2:10" s="10" customFormat="1" x14ac:dyDescent="0.25">
      <c r="B56"/>
      <c r="C56" s="22" t="s">
        <v>23</v>
      </c>
      <c r="D56" s="19">
        <f t="shared" si="1"/>
        <v>55229</v>
      </c>
      <c r="E56" s="27">
        <f>363+14024</f>
        <v>14387</v>
      </c>
      <c r="F56" s="27">
        <f>471+17821</f>
        <v>18292</v>
      </c>
      <c r="G56" s="27">
        <v>22550</v>
      </c>
      <c r="H56" s="1">
        <f>SUM(E56:G56)</f>
        <v>55229</v>
      </c>
      <c r="I56" s="9"/>
      <c r="J56" s="3"/>
    </row>
    <row r="57" spans="2:10" s="10" customFormat="1" x14ac:dyDescent="0.25">
      <c r="B57"/>
      <c r="C57" s="20" t="s">
        <v>86</v>
      </c>
      <c r="D57" s="21">
        <f>+H57</f>
        <v>0</v>
      </c>
      <c r="E57" s="27"/>
      <c r="F57" s="27"/>
      <c r="G57" s="27"/>
      <c r="H57" s="1">
        <f>SUM(E57:G57)</f>
        <v>0</v>
      </c>
      <c r="I57" s="9"/>
      <c r="J57" s="3"/>
    </row>
    <row r="58" spans="2:10" s="10" customFormat="1" x14ac:dyDescent="0.25">
      <c r="B58"/>
      <c r="C58" s="22" t="s">
        <v>50</v>
      </c>
      <c r="D58" s="19">
        <f t="shared" si="1"/>
        <v>100135</v>
      </c>
      <c r="E58" s="27">
        <f>462+25253</f>
        <v>25715</v>
      </c>
      <c r="F58" s="27">
        <f>570+33566+230</f>
        <v>34366</v>
      </c>
      <c r="G58" s="27">
        <v>40054</v>
      </c>
      <c r="H58" s="1">
        <f>SUM(E58:G58)</f>
        <v>100135</v>
      </c>
      <c r="I58" s="9"/>
      <c r="J58" s="3"/>
    </row>
    <row r="59" spans="2:10" s="10" customFormat="1" x14ac:dyDescent="0.25">
      <c r="B59"/>
      <c r="C59" s="20" t="s">
        <v>25</v>
      </c>
      <c r="D59" s="21">
        <f t="shared" si="1"/>
        <v>102080</v>
      </c>
      <c r="E59" s="27">
        <f>864+24868</f>
        <v>25732</v>
      </c>
      <c r="F59" s="27">
        <f>1104+32483</f>
        <v>33587</v>
      </c>
      <c r="G59" s="27">
        <v>42761</v>
      </c>
      <c r="H59" s="1">
        <f>SUM(E59:G59)</f>
        <v>102080</v>
      </c>
      <c r="I59" s="9"/>
      <c r="J59" s="3"/>
    </row>
    <row r="60" spans="2:10" s="10" customFormat="1" x14ac:dyDescent="0.25">
      <c r="B60"/>
      <c r="C60" s="20" t="s">
        <v>91</v>
      </c>
      <c r="D60" s="21">
        <f t="shared" si="1"/>
        <v>0</v>
      </c>
      <c r="E60" s="27"/>
      <c r="F60" s="27"/>
      <c r="G60" s="27"/>
      <c r="H60" s="1">
        <f>SUM(E60:G60)</f>
        <v>0</v>
      </c>
      <c r="I60" s="9"/>
      <c r="J60" s="3"/>
    </row>
    <row r="61" spans="2:10" s="10" customFormat="1" x14ac:dyDescent="0.25">
      <c r="B61"/>
      <c r="C61" s="22" t="s">
        <v>26</v>
      </c>
      <c r="D61" s="19">
        <f t="shared" si="1"/>
        <v>52969</v>
      </c>
      <c r="E61" s="27">
        <f>272+16420</f>
        <v>16692</v>
      </c>
      <c r="F61" s="27">
        <f>340+15989</f>
        <v>16329</v>
      </c>
      <c r="G61" s="27">
        <v>19948</v>
      </c>
      <c r="H61" s="1">
        <f>SUM(E61:G61)</f>
        <v>52969</v>
      </c>
      <c r="I61" s="9"/>
      <c r="J61" s="3"/>
    </row>
    <row r="62" spans="2:10" s="10" customFormat="1" x14ac:dyDescent="0.25">
      <c r="B62"/>
      <c r="C62" s="20" t="s">
        <v>78</v>
      </c>
      <c r="D62" s="21">
        <f t="shared" si="1"/>
        <v>0</v>
      </c>
      <c r="E62" s="27"/>
      <c r="F62" s="27"/>
      <c r="G62" s="27"/>
      <c r="H62" s="1">
        <f>SUM(E62:G62)</f>
        <v>0</v>
      </c>
      <c r="I62" s="9"/>
      <c r="J62" s="3"/>
    </row>
    <row r="63" spans="2:10" s="10" customFormat="1" x14ac:dyDescent="0.25">
      <c r="B63"/>
      <c r="C63" s="22" t="s">
        <v>34</v>
      </c>
      <c r="D63" s="19">
        <f t="shared" si="1"/>
        <v>71200</v>
      </c>
      <c r="E63" s="27">
        <f>225+16451</f>
        <v>16676</v>
      </c>
      <c r="F63" s="27">
        <f>285+24072</f>
        <v>24357</v>
      </c>
      <c r="G63" s="27">
        <v>30167</v>
      </c>
      <c r="H63" s="1">
        <f>SUM(E63:G63)</f>
        <v>71200</v>
      </c>
      <c r="I63" s="9"/>
      <c r="J63" s="3"/>
    </row>
    <row r="64" spans="2:10" s="10" customFormat="1" x14ac:dyDescent="0.25">
      <c r="B64"/>
      <c r="C64" s="20" t="s">
        <v>42</v>
      </c>
      <c r="D64" s="21">
        <f t="shared" si="1"/>
        <v>44908</v>
      </c>
      <c r="E64" s="27">
        <f>475+9728</f>
        <v>10203</v>
      </c>
      <c r="F64" s="27">
        <f>552+14353</f>
        <v>14905</v>
      </c>
      <c r="G64" s="27">
        <v>19800</v>
      </c>
      <c r="H64" s="1">
        <f>SUM(E64:G64)</f>
        <v>44908</v>
      </c>
      <c r="I64" s="9"/>
      <c r="J64" s="3"/>
    </row>
    <row r="65" spans="2:10" s="10" customFormat="1" x14ac:dyDescent="0.25">
      <c r="B65"/>
      <c r="C65" s="22" t="s">
        <v>51</v>
      </c>
      <c r="D65" s="19">
        <f t="shared" si="1"/>
        <v>94027</v>
      </c>
      <c r="E65" s="27">
        <f>340+28715</f>
        <v>29055</v>
      </c>
      <c r="F65" s="27">
        <f>494+30295</f>
        <v>30789</v>
      </c>
      <c r="G65" s="27">
        <v>34183</v>
      </c>
      <c r="H65" s="1">
        <f>SUM(E65:G65)</f>
        <v>94027</v>
      </c>
      <c r="I65" s="9"/>
      <c r="J65" s="3"/>
    </row>
    <row r="66" spans="2:10" s="10" customFormat="1" x14ac:dyDescent="0.25">
      <c r="B66"/>
      <c r="C66" s="20" t="s">
        <v>40</v>
      </c>
      <c r="D66" s="21">
        <f t="shared" si="1"/>
        <v>30589</v>
      </c>
      <c r="E66" s="27">
        <f>480+7105</f>
        <v>7585</v>
      </c>
      <c r="F66" s="27">
        <f>608+9833</f>
        <v>10441</v>
      </c>
      <c r="G66" s="27">
        <v>12563</v>
      </c>
      <c r="H66" s="1">
        <f>SUM(E66:G66)</f>
        <v>30589</v>
      </c>
      <c r="I66" s="9"/>
      <c r="J66" s="3"/>
    </row>
    <row r="67" spans="2:10" s="10" customFormat="1" x14ac:dyDescent="0.25">
      <c r="B67"/>
      <c r="C67" s="22" t="s">
        <v>29</v>
      </c>
      <c r="D67" s="19">
        <f t="shared" si="1"/>
        <v>86677</v>
      </c>
      <c r="E67" s="27">
        <f>241+22040</f>
        <v>22281</v>
      </c>
      <c r="F67" s="27">
        <f>322+29233</f>
        <v>29555</v>
      </c>
      <c r="G67" s="27">
        <v>34841</v>
      </c>
      <c r="H67" s="1">
        <f>SUM(E67:G67)</f>
        <v>86677</v>
      </c>
      <c r="I67" s="9"/>
      <c r="J67" s="3"/>
    </row>
    <row r="68" spans="2:10" s="10" customFormat="1" x14ac:dyDescent="0.25">
      <c r="B68"/>
      <c r="C68" s="22" t="s">
        <v>93</v>
      </c>
      <c r="D68" s="19">
        <f>+H68</f>
        <v>0</v>
      </c>
      <c r="E68" s="27"/>
      <c r="F68" s="27"/>
      <c r="G68" s="27"/>
      <c r="H68" s="1">
        <f>SUM(E68:G68)</f>
        <v>0</v>
      </c>
      <c r="I68" s="9"/>
      <c r="J68" s="3"/>
    </row>
    <row r="69" spans="2:10" s="10" customFormat="1" x14ac:dyDescent="0.25">
      <c r="B69"/>
      <c r="C69" s="20" t="s">
        <v>27</v>
      </c>
      <c r="D69" s="21">
        <f t="shared" si="1"/>
        <v>78654</v>
      </c>
      <c r="E69" s="27">
        <f>476+16179+1000</f>
        <v>17655</v>
      </c>
      <c r="F69" s="27">
        <f>597+24089</f>
        <v>24686</v>
      </c>
      <c r="G69" s="27">
        <v>36313</v>
      </c>
      <c r="H69" s="1">
        <f>SUM(E69:G69)</f>
        <v>78654</v>
      </c>
      <c r="I69" s="9"/>
      <c r="J69" s="3"/>
    </row>
    <row r="70" spans="2:10" s="10" customFormat="1" x14ac:dyDescent="0.25">
      <c r="B70"/>
      <c r="C70" s="22" t="s">
        <v>83</v>
      </c>
      <c r="D70" s="19">
        <f t="shared" si="1"/>
        <v>0</v>
      </c>
      <c r="E70" s="27"/>
      <c r="F70" s="27"/>
      <c r="G70" s="27"/>
      <c r="H70" s="1">
        <f>SUM(E70:G70)</f>
        <v>0</v>
      </c>
      <c r="I70" s="9"/>
      <c r="J70" s="3"/>
    </row>
    <row r="71" spans="2:10" s="10" customFormat="1" x14ac:dyDescent="0.25">
      <c r="B71"/>
      <c r="C71" s="20" t="s">
        <v>33</v>
      </c>
      <c r="D71" s="21">
        <f t="shared" si="1"/>
        <v>65757</v>
      </c>
      <c r="E71" s="27">
        <f>225+16021</f>
        <v>16246</v>
      </c>
      <c r="F71" s="27">
        <f>285+20929</f>
        <v>21214</v>
      </c>
      <c r="G71" s="27">
        <v>28297</v>
      </c>
      <c r="H71" s="1">
        <f>SUM(E71:G71)</f>
        <v>65757</v>
      </c>
      <c r="I71" s="9"/>
      <c r="J71" s="3"/>
    </row>
    <row r="72" spans="2:10" s="10" customFormat="1" x14ac:dyDescent="0.25">
      <c r="B72"/>
      <c r="C72" s="22" t="s">
        <v>28</v>
      </c>
      <c r="D72" s="19">
        <f t="shared" si="1"/>
        <v>64643</v>
      </c>
      <c r="E72" s="27">
        <f>270+13982</f>
        <v>14252</v>
      </c>
      <c r="F72" s="27">
        <f>392+21010</f>
        <v>21402</v>
      </c>
      <c r="G72" s="27">
        <v>28989</v>
      </c>
      <c r="H72" s="1">
        <f>SUM(E72:G72)</f>
        <v>64643</v>
      </c>
      <c r="I72" s="9"/>
      <c r="J72" s="3"/>
    </row>
    <row r="73" spans="2:10" s="10" customFormat="1" x14ac:dyDescent="0.25">
      <c r="B73"/>
      <c r="C73" s="20" t="s">
        <v>37</v>
      </c>
      <c r="D73" s="21">
        <f t="shared" si="1"/>
        <v>119645</v>
      </c>
      <c r="E73" s="27">
        <f>407+28559</f>
        <v>28966</v>
      </c>
      <c r="F73" s="27">
        <f>495+38853+600</f>
        <v>39948</v>
      </c>
      <c r="G73" s="27">
        <v>50731</v>
      </c>
      <c r="H73" s="1">
        <f>SUM(E73:G73)</f>
        <v>119645</v>
      </c>
      <c r="I73" s="9"/>
      <c r="J73" s="3"/>
    </row>
    <row r="74" spans="2:10" s="10" customFormat="1" x14ac:dyDescent="0.25">
      <c r="B74"/>
      <c r="C74" s="22" t="s">
        <v>79</v>
      </c>
      <c r="D74" s="19">
        <f>H74</f>
        <v>23240</v>
      </c>
      <c r="E74" s="27"/>
      <c r="F74" s="27">
        <f>259+1517</f>
        <v>1776</v>
      </c>
      <c r="G74" s="27">
        <v>21464</v>
      </c>
      <c r="H74" s="1">
        <f>SUM(E74:G74)</f>
        <v>23240</v>
      </c>
      <c r="I74" s="9"/>
      <c r="J74" s="3"/>
    </row>
    <row r="75" spans="2:10" s="10" customFormat="1" x14ac:dyDescent="0.25">
      <c r="B75"/>
      <c r="C75" s="20" t="s">
        <v>39</v>
      </c>
      <c r="D75" s="21">
        <f>+H75</f>
        <v>100100</v>
      </c>
      <c r="E75" s="27">
        <f>448+19927</f>
        <v>20375</v>
      </c>
      <c r="F75" s="27">
        <f>608+35699+200</f>
        <v>36507</v>
      </c>
      <c r="G75" s="27">
        <v>43218</v>
      </c>
      <c r="H75" s="1">
        <f>SUM(E75:G75)</f>
        <v>100100</v>
      </c>
      <c r="I75" s="9"/>
      <c r="J75" s="3"/>
    </row>
    <row r="76" spans="2:10" s="10" customFormat="1" x14ac:dyDescent="0.25">
      <c r="B76"/>
      <c r="C76" s="22" t="s">
        <v>89</v>
      </c>
      <c r="D76" s="19">
        <f>+H76</f>
        <v>0</v>
      </c>
      <c r="E76" s="27"/>
      <c r="F76" s="27"/>
      <c r="G76" s="27"/>
      <c r="H76" s="1">
        <f>SUM(E76:G76)</f>
        <v>0</v>
      </c>
      <c r="I76" s="9"/>
      <c r="J76" s="3"/>
    </row>
    <row r="77" spans="2:10" s="10" customFormat="1" x14ac:dyDescent="0.25">
      <c r="B77"/>
      <c r="C77" s="22" t="s">
        <v>62</v>
      </c>
      <c r="D77" s="19">
        <f t="shared" si="1"/>
        <v>82403</v>
      </c>
      <c r="E77" s="27">
        <f>220+20369</f>
        <v>20589</v>
      </c>
      <c r="F77" s="27">
        <f>278+26967</f>
        <v>27245</v>
      </c>
      <c r="G77" s="27">
        <v>34569</v>
      </c>
      <c r="H77" s="1">
        <f>SUM(E77:G77)</f>
        <v>82403</v>
      </c>
      <c r="I77" s="9"/>
      <c r="J77" s="3"/>
    </row>
    <row r="78" spans="2:10" s="10" customFormat="1" x14ac:dyDescent="0.25">
      <c r="B78"/>
      <c r="C78" s="20" t="s">
        <v>30</v>
      </c>
      <c r="D78" s="21">
        <f t="shared" si="1"/>
        <v>79930</v>
      </c>
      <c r="E78" s="27">
        <f>363+19034</f>
        <v>19397</v>
      </c>
      <c r="F78" s="27">
        <f>484+26680</f>
        <v>27164</v>
      </c>
      <c r="G78" s="27">
        <v>33369</v>
      </c>
      <c r="H78" s="1">
        <f>SUM(E78:G78)</f>
        <v>79930</v>
      </c>
      <c r="I78" s="9"/>
      <c r="J78" s="3"/>
    </row>
    <row r="79" spans="2:10" s="10" customFormat="1" x14ac:dyDescent="0.25">
      <c r="B79"/>
      <c r="C79" s="22" t="s">
        <v>31</v>
      </c>
      <c r="D79" s="19">
        <f t="shared" si="1"/>
        <v>49082</v>
      </c>
      <c r="E79" s="27">
        <f>510+11663</f>
        <v>12173</v>
      </c>
      <c r="F79" s="27">
        <f>646+16064</f>
        <v>16710</v>
      </c>
      <c r="G79" s="27">
        <v>20199</v>
      </c>
      <c r="H79" s="1">
        <f>SUM(E79:G79)</f>
        <v>49082</v>
      </c>
      <c r="I79" s="9"/>
      <c r="J79" s="3"/>
    </row>
    <row r="80" spans="2:10" s="10" customFormat="1" x14ac:dyDescent="0.25">
      <c r="B80"/>
      <c r="C80" s="20" t="s">
        <v>32</v>
      </c>
      <c r="D80" s="21">
        <f t="shared" si="1"/>
        <v>96560</v>
      </c>
      <c r="E80" s="27">
        <f>343+23204</f>
        <v>23547</v>
      </c>
      <c r="F80" s="27">
        <f>415+31062+100</f>
        <v>31577</v>
      </c>
      <c r="G80" s="27">
        <v>41436</v>
      </c>
      <c r="H80" s="1">
        <f>SUM(E80:G80)</f>
        <v>96560</v>
      </c>
      <c r="I80" s="9"/>
      <c r="J80" s="3"/>
    </row>
    <row r="81" spans="2:11" s="10" customFormat="1" x14ac:dyDescent="0.25">
      <c r="B81"/>
      <c r="C81" s="22" t="s">
        <v>87</v>
      </c>
      <c r="D81" s="19">
        <f t="shared" si="1"/>
        <v>0</v>
      </c>
      <c r="E81" s="27"/>
      <c r="F81" s="27"/>
      <c r="G81" s="27"/>
      <c r="H81" s="1">
        <f>SUM(E81:G81)</f>
        <v>0</v>
      </c>
      <c r="I81" s="9"/>
      <c r="J81" s="3"/>
    </row>
    <row r="82" spans="2:11" s="10" customFormat="1" x14ac:dyDescent="0.25">
      <c r="B82"/>
      <c r="C82" s="20" t="s">
        <v>66</v>
      </c>
      <c r="D82" s="21">
        <f t="shared" si="1"/>
        <v>73500</v>
      </c>
      <c r="E82" s="27">
        <f>300+18102</f>
        <v>18402</v>
      </c>
      <c r="F82" s="27">
        <f>380+24540</f>
        <v>24920</v>
      </c>
      <c r="G82" s="27">
        <v>30178</v>
      </c>
      <c r="H82" s="1">
        <f>SUM(E82:G82)</f>
        <v>73500</v>
      </c>
      <c r="I82" s="9"/>
      <c r="J82" s="3"/>
    </row>
    <row r="83" spans="2:11" s="10" customFormat="1" x14ac:dyDescent="0.25">
      <c r="B83"/>
      <c r="C83" s="22" t="s">
        <v>38</v>
      </c>
      <c r="D83" s="19">
        <f t="shared" si="1"/>
        <v>76977</v>
      </c>
      <c r="E83" s="27">
        <f>300+18014</f>
        <v>18314</v>
      </c>
      <c r="F83" s="27">
        <f>380+23881</f>
        <v>24261</v>
      </c>
      <c r="G83" s="27">
        <v>34402</v>
      </c>
      <c r="H83" s="1">
        <f>SUM(E83:G83)</f>
        <v>76977</v>
      </c>
      <c r="I83" s="9"/>
      <c r="J83" s="3"/>
    </row>
    <row r="84" spans="2:11" s="10" customFormat="1" x14ac:dyDescent="0.25">
      <c r="B84"/>
      <c r="C84" s="20" t="s">
        <v>35</v>
      </c>
      <c r="D84" s="21">
        <f t="shared" si="1"/>
        <v>34893</v>
      </c>
      <c r="E84" s="27">
        <f>470+8703</f>
        <v>9173</v>
      </c>
      <c r="F84" s="27">
        <f>666+10920+300</f>
        <v>11886</v>
      </c>
      <c r="G84" s="27">
        <v>13834</v>
      </c>
      <c r="H84" s="1">
        <f>SUM(E84:G84)</f>
        <v>34893</v>
      </c>
      <c r="I84" s="9"/>
      <c r="J84" s="3"/>
    </row>
    <row r="85" spans="2:11" s="10" customFormat="1" x14ac:dyDescent="0.25">
      <c r="B85"/>
      <c r="C85" s="22" t="s">
        <v>58</v>
      </c>
      <c r="D85" s="19">
        <f t="shared" si="1"/>
        <v>70128</v>
      </c>
      <c r="E85" s="27">
        <f>195+17667</f>
        <v>17862</v>
      </c>
      <c r="F85" s="27">
        <f>212+21748</f>
        <v>21960</v>
      </c>
      <c r="G85" s="27">
        <v>30306</v>
      </c>
      <c r="H85" s="1">
        <f>SUM(E85:G85)</f>
        <v>70128</v>
      </c>
      <c r="I85" s="9"/>
      <c r="J85" s="3"/>
    </row>
    <row r="86" spans="2:11" s="10" customFormat="1" x14ac:dyDescent="0.25">
      <c r="B86"/>
      <c r="C86" s="20" t="s">
        <v>36</v>
      </c>
      <c r="D86" s="21">
        <f t="shared" si="1"/>
        <v>92674</v>
      </c>
      <c r="E86" s="27">
        <f>495+23245</f>
        <v>23740</v>
      </c>
      <c r="F86" s="27">
        <f>627+30081</f>
        <v>30708</v>
      </c>
      <c r="G86" s="27">
        <v>38226</v>
      </c>
      <c r="H86" s="1">
        <f>SUM(E86:G86)</f>
        <v>92674</v>
      </c>
      <c r="I86" s="9"/>
      <c r="J86" s="3"/>
    </row>
    <row r="87" spans="2:11" s="10" customFormat="1" x14ac:dyDescent="0.25">
      <c r="B87"/>
      <c r="C87" s="22" t="s">
        <v>61</v>
      </c>
      <c r="D87" s="19">
        <f t="shared" si="1"/>
        <v>74175</v>
      </c>
      <c r="E87" s="27">
        <f>405+18992+900</f>
        <v>20297</v>
      </c>
      <c r="F87" s="27">
        <f>513+20290+1400</f>
        <v>22203</v>
      </c>
      <c r="G87" s="27">
        <v>31675</v>
      </c>
      <c r="H87" s="1">
        <f>SUM(E87:G87)</f>
        <v>74175</v>
      </c>
      <c r="I87" s="9"/>
      <c r="J87" s="3"/>
    </row>
    <row r="88" spans="2:11" s="10" customFormat="1" x14ac:dyDescent="0.25">
      <c r="B88"/>
      <c r="C88" s="20" t="s">
        <v>41</v>
      </c>
      <c r="D88" s="21">
        <f t="shared" si="1"/>
        <v>71430</v>
      </c>
      <c r="E88" s="27">
        <f>600+17937</f>
        <v>18537</v>
      </c>
      <c r="F88" s="27">
        <f>880+23457</f>
        <v>24337</v>
      </c>
      <c r="G88" s="27">
        <v>28556</v>
      </c>
      <c r="H88" s="1">
        <f>SUM(E88:G88)</f>
        <v>71430</v>
      </c>
      <c r="I88" s="9"/>
      <c r="J88" s="3"/>
    </row>
    <row r="89" spans="2:11" s="10" customFormat="1" x14ac:dyDescent="0.25">
      <c r="B89"/>
      <c r="C89" s="20" t="s">
        <v>88</v>
      </c>
      <c r="D89" s="21">
        <f>+H89</f>
        <v>0</v>
      </c>
      <c r="E89" s="27"/>
      <c r="F89" s="27"/>
      <c r="G89" s="27"/>
      <c r="H89" s="1">
        <f>SUM(E89:G89)</f>
        <v>0</v>
      </c>
      <c r="I89" s="9"/>
      <c r="J89" s="3"/>
    </row>
    <row r="90" spans="2:11" s="10" customFormat="1" x14ac:dyDescent="0.25">
      <c r="B90">
        <v>84</v>
      </c>
      <c r="C90" s="22" t="s">
        <v>90</v>
      </c>
      <c r="D90" s="19">
        <f t="shared" si="1"/>
        <v>0</v>
      </c>
      <c r="E90" s="27"/>
      <c r="F90" s="27"/>
      <c r="G90" s="27"/>
      <c r="H90" s="1">
        <f>SUM(E90:G90)</f>
        <v>0</v>
      </c>
      <c r="I90" s="9"/>
      <c r="J90" s="3"/>
    </row>
    <row r="91" spans="2:11" s="10" customFormat="1" x14ac:dyDescent="0.25">
      <c r="B91"/>
      <c r="C91" s="22"/>
      <c r="D91" s="19"/>
      <c r="E91" s="27"/>
      <c r="F91" s="27"/>
      <c r="G91" s="27"/>
      <c r="H91" s="1"/>
      <c r="I91" s="9"/>
      <c r="J91" s="28"/>
    </row>
    <row r="92" spans="2:11" s="10" customFormat="1" ht="30" x14ac:dyDescent="0.25">
      <c r="C92" s="20" t="s">
        <v>44</v>
      </c>
      <c r="D92" s="21">
        <f>SUM(D7:D91)</f>
        <v>6253039</v>
      </c>
      <c r="E92" s="27"/>
      <c r="F92" s="27"/>
      <c r="G92" s="27"/>
      <c r="H92" s="27"/>
      <c r="I92" s="9"/>
    </row>
    <row r="93" spans="2:11" ht="15.75" thickBot="1" x14ac:dyDescent="0.3">
      <c r="C93" s="23" t="s">
        <v>45</v>
      </c>
      <c r="D93" s="24">
        <f>+D92+D5</f>
        <v>6904737</v>
      </c>
      <c r="E93" s="6">
        <f>SUM(E7:E92)</f>
        <v>1455930</v>
      </c>
      <c r="F93" s="6">
        <f>SUM(F7:F92)</f>
        <v>2078782</v>
      </c>
      <c r="G93" s="6">
        <f>SUM(G7:G92)</f>
        <v>2718327</v>
      </c>
      <c r="H93" s="6">
        <f>SUM(E93:G93)</f>
        <v>6253039</v>
      </c>
      <c r="J93" s="3"/>
    </row>
    <row r="94" spans="2:11" x14ac:dyDescent="0.25">
      <c r="C94" s="25"/>
      <c r="D94" s="26">
        <f>SUM(D7:D88)</f>
        <v>6253039</v>
      </c>
      <c r="E94" s="7"/>
      <c r="F94" s="7"/>
      <c r="G94" s="7"/>
      <c r="H94" s="7"/>
      <c r="K94" s="3"/>
    </row>
  </sheetData>
  <mergeCells count="2">
    <mergeCell ref="C3:D3"/>
    <mergeCell ref="C4:D4"/>
  </mergeCells>
  <pageMargins left="0.11811023622047245" right="0.11811023622047245" top="0.23622047244094491" bottom="0.15748031496062992" header="0.23622047244094491" footer="0.31496062992125984"/>
  <pageSetup paperSize="5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MONTES DE OCA</dc:creator>
  <cp:lastModifiedBy>TIASTIRA  CABRERA</cp:lastModifiedBy>
  <cp:lastPrinted>2023-11-17T16:17:45Z</cp:lastPrinted>
  <dcterms:created xsi:type="dcterms:W3CDTF">2022-06-07T13:05:07Z</dcterms:created>
  <dcterms:modified xsi:type="dcterms:W3CDTF">2025-02-19T14:38:05Z</dcterms:modified>
</cp:coreProperties>
</file>