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"/>
    </mc:Choice>
  </mc:AlternateContent>
  <bookViews>
    <workbookView xWindow="0" yWindow="0" windowWidth="15360" windowHeight="7455" tabRatio="602" firstSheet="2" activeTab="3"/>
  </bookViews>
  <sheets>
    <sheet name="BENEFICIARIO PR.TRIMESTRE (2)" sheetId="22" state="hidden" r:id="rId1"/>
    <sheet name="PRODUCCION ABRIL 2023" sheetId="23" r:id="rId2"/>
    <sheet name="PRODUCCION 2023" sheetId="20" r:id="rId3"/>
    <sheet name="BENEFICIARIO PR.TRIMESTRE" sheetId="21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" i="21" l="1"/>
  <c r="S93" i="21"/>
  <c r="S94" i="21"/>
  <c r="K94" i="21" l="1"/>
  <c r="L94" i="21"/>
  <c r="M94" i="21"/>
  <c r="N94" i="21"/>
  <c r="O94" i="21"/>
  <c r="P94" i="21"/>
  <c r="Q94" i="21"/>
  <c r="R94" i="21"/>
  <c r="R93" i="21"/>
  <c r="R92" i="21"/>
  <c r="R90" i="21"/>
  <c r="R88" i="21"/>
  <c r="D65" i="21"/>
  <c r="D85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2" i="21"/>
  <c r="S53" i="21"/>
  <c r="S54" i="21"/>
  <c r="S55" i="21"/>
  <c r="S56" i="21"/>
  <c r="S57" i="21"/>
  <c r="S58" i="21"/>
  <c r="S59" i="21"/>
  <c r="S60" i="21"/>
  <c r="S61" i="21"/>
  <c r="S62" i="21"/>
  <c r="S63" i="21"/>
  <c r="S64" i="21"/>
  <c r="S65" i="21"/>
  <c r="S66" i="21"/>
  <c r="S67" i="21"/>
  <c r="S68" i="21"/>
  <c r="S69" i="21"/>
  <c r="S70" i="21"/>
  <c r="S71" i="21"/>
  <c r="S72" i="21"/>
  <c r="S73" i="21"/>
  <c r="S74" i="21"/>
  <c r="S75" i="21"/>
  <c r="S76" i="21"/>
  <c r="S77" i="21"/>
  <c r="S78" i="21"/>
  <c r="S79" i="21"/>
  <c r="S80" i="21"/>
  <c r="S81" i="21"/>
  <c r="S82" i="21"/>
  <c r="S7" i="21"/>
  <c r="S6" i="21"/>
  <c r="S5" i="21"/>
  <c r="R86" i="21"/>
  <c r="R5" i="21"/>
  <c r="R6" i="21" s="1"/>
  <c r="J92" i="21" l="1"/>
  <c r="J93" i="21"/>
  <c r="J90" i="21"/>
  <c r="D75" i="21"/>
  <c r="D19" i="21"/>
  <c r="D18" i="21"/>
  <c r="D48" i="21"/>
  <c r="J6" i="21"/>
  <c r="J5" i="21"/>
  <c r="D5" i="23" l="1"/>
  <c r="F5" i="23"/>
  <c r="O5" i="23"/>
  <c r="F6" i="23"/>
  <c r="O6" i="23" s="1"/>
  <c r="O7" i="23"/>
  <c r="D7" i="23" s="1"/>
  <c r="N102" i="23"/>
  <c r="M102" i="23"/>
  <c r="N98" i="23"/>
  <c r="K97" i="23"/>
  <c r="K98" i="23" s="1"/>
  <c r="V96" i="23"/>
  <c r="V93" i="23"/>
  <c r="V92" i="23"/>
  <c r="V97" i="23" s="1"/>
  <c r="V101" i="23" s="1"/>
  <c r="S93" i="23" s="1"/>
  <c r="L90" i="23"/>
  <c r="N89" i="23"/>
  <c r="M89" i="23"/>
  <c r="L89" i="23"/>
  <c r="K89" i="23"/>
  <c r="J89" i="23"/>
  <c r="I89" i="23"/>
  <c r="H89" i="23"/>
  <c r="G89" i="23"/>
  <c r="F87" i="23"/>
  <c r="N81" i="23"/>
  <c r="N83" i="23" s="1"/>
  <c r="N84" i="23" s="1"/>
  <c r="M81" i="23"/>
  <c r="M83" i="23" s="1"/>
  <c r="M84" i="23" s="1"/>
  <c r="M97" i="23" s="1"/>
  <c r="M98" i="23" s="1"/>
  <c r="L81" i="23"/>
  <c r="L83" i="23" s="1"/>
  <c r="L84" i="23" s="1"/>
  <c r="L97" i="23" s="1"/>
  <c r="L98" i="23" s="1"/>
  <c r="K81" i="23"/>
  <c r="K83" i="23" s="1"/>
  <c r="J81" i="23"/>
  <c r="J83" i="23" s="1"/>
  <c r="J84" i="23" s="1"/>
  <c r="J97" i="23" s="1"/>
  <c r="J98" i="23" s="1"/>
  <c r="I81" i="23"/>
  <c r="I83" i="23" s="1"/>
  <c r="I84" i="23" s="1"/>
  <c r="I97" i="23" s="1"/>
  <c r="I98" i="23" s="1"/>
  <c r="H81" i="23"/>
  <c r="H83" i="23" s="1"/>
  <c r="H84" i="23" s="1"/>
  <c r="G81" i="23"/>
  <c r="G83" i="23" s="1"/>
  <c r="G84" i="23" s="1"/>
  <c r="F81" i="23"/>
  <c r="F88" i="23" s="1"/>
  <c r="O77" i="23"/>
  <c r="D77" i="23" s="1"/>
  <c r="O76" i="23"/>
  <c r="D76" i="23" s="1"/>
  <c r="O75" i="23"/>
  <c r="D75" i="23" s="1"/>
  <c r="O74" i="23"/>
  <c r="D74" i="23" s="1"/>
  <c r="O73" i="23"/>
  <c r="D73" i="23" s="1"/>
  <c r="O72" i="23"/>
  <c r="D72" i="23" s="1"/>
  <c r="O71" i="23"/>
  <c r="D71" i="23" s="1"/>
  <c r="O70" i="23"/>
  <c r="D70" i="23" s="1"/>
  <c r="O69" i="23"/>
  <c r="D69" i="23" s="1"/>
  <c r="O68" i="23"/>
  <c r="D68" i="23" s="1"/>
  <c r="O67" i="23"/>
  <c r="D67" i="23" s="1"/>
  <c r="O66" i="23"/>
  <c r="D66" i="23" s="1"/>
  <c r="O65" i="23"/>
  <c r="D65" i="23" s="1"/>
  <c r="O64" i="23"/>
  <c r="D64" i="23" s="1"/>
  <c r="O63" i="23"/>
  <c r="D63" i="23" s="1"/>
  <c r="O62" i="23"/>
  <c r="D62" i="23" s="1"/>
  <c r="O61" i="23"/>
  <c r="D61" i="23" s="1"/>
  <c r="O60" i="23"/>
  <c r="D60" i="23" s="1"/>
  <c r="O59" i="23"/>
  <c r="D59" i="23" s="1"/>
  <c r="O58" i="23"/>
  <c r="D58" i="23" s="1"/>
  <c r="O57" i="23"/>
  <c r="D57" i="23" s="1"/>
  <c r="O56" i="23"/>
  <c r="D56" i="23" s="1"/>
  <c r="O55" i="23"/>
  <c r="D55" i="23" s="1"/>
  <c r="O54" i="23"/>
  <c r="D54" i="23" s="1"/>
  <c r="O53" i="23"/>
  <c r="D53" i="23" s="1"/>
  <c r="O52" i="23"/>
  <c r="D52" i="23" s="1"/>
  <c r="O51" i="23"/>
  <c r="D51" i="23" s="1"/>
  <c r="O50" i="23"/>
  <c r="D50" i="23" s="1"/>
  <c r="O49" i="23"/>
  <c r="D49" i="23" s="1"/>
  <c r="O48" i="23"/>
  <c r="D48" i="23" s="1"/>
  <c r="O47" i="23"/>
  <c r="D47" i="23" s="1"/>
  <c r="O46" i="23"/>
  <c r="D46" i="23" s="1"/>
  <c r="O45" i="23"/>
  <c r="D45" i="23" s="1"/>
  <c r="O44" i="23"/>
  <c r="D44" i="23" s="1"/>
  <c r="O43" i="23"/>
  <c r="D43" i="23" s="1"/>
  <c r="O42" i="23"/>
  <c r="D42" i="23" s="1"/>
  <c r="O41" i="23"/>
  <c r="D41" i="23" s="1"/>
  <c r="O40" i="23"/>
  <c r="D40" i="23" s="1"/>
  <c r="O39" i="23"/>
  <c r="D39" i="23" s="1"/>
  <c r="O38" i="23"/>
  <c r="D38" i="23" s="1"/>
  <c r="O37" i="23"/>
  <c r="D37" i="23"/>
  <c r="O36" i="23"/>
  <c r="D36" i="23" s="1"/>
  <c r="O35" i="23"/>
  <c r="D35" i="23" s="1"/>
  <c r="O34" i="23"/>
  <c r="D34" i="23" s="1"/>
  <c r="O33" i="23"/>
  <c r="D33" i="23" s="1"/>
  <c r="O32" i="23"/>
  <c r="D32" i="23" s="1"/>
  <c r="O31" i="23"/>
  <c r="D31" i="23" s="1"/>
  <c r="O30" i="23"/>
  <c r="D30" i="23" s="1"/>
  <c r="O29" i="23"/>
  <c r="D29" i="23" s="1"/>
  <c r="O28" i="23"/>
  <c r="D28" i="23" s="1"/>
  <c r="O27" i="23"/>
  <c r="D27" i="23" s="1"/>
  <c r="O26" i="23"/>
  <c r="D26" i="23" s="1"/>
  <c r="O25" i="23"/>
  <c r="D25" i="23" s="1"/>
  <c r="O24" i="23"/>
  <c r="D24" i="23" s="1"/>
  <c r="O23" i="23"/>
  <c r="D23" i="23" s="1"/>
  <c r="O22" i="23"/>
  <c r="D22" i="23" s="1"/>
  <c r="O21" i="23"/>
  <c r="D21" i="23" s="1"/>
  <c r="O20" i="23"/>
  <c r="D20" i="23" s="1"/>
  <c r="O19" i="23"/>
  <c r="D19" i="23" s="1"/>
  <c r="O18" i="23"/>
  <c r="D18" i="23" s="1"/>
  <c r="O17" i="23"/>
  <c r="D17" i="23" s="1"/>
  <c r="O16" i="23"/>
  <c r="D16" i="23" s="1"/>
  <c r="O15" i="23"/>
  <c r="D15" i="23" s="1"/>
  <c r="O14" i="23"/>
  <c r="D14" i="23" s="1"/>
  <c r="O13" i="23"/>
  <c r="D13" i="23" s="1"/>
  <c r="O12" i="23"/>
  <c r="D12" i="23" s="1"/>
  <c r="O11" i="23"/>
  <c r="D11" i="23" s="1"/>
  <c r="O10" i="23"/>
  <c r="D10" i="23" s="1"/>
  <c r="O9" i="23"/>
  <c r="D9" i="23" s="1"/>
  <c r="O8" i="23"/>
  <c r="D8" i="23" s="1"/>
  <c r="Q102" i="22"/>
  <c r="P102" i="22"/>
  <c r="Q98" i="22"/>
  <c r="N97" i="22"/>
  <c r="N98" i="22" s="1"/>
  <c r="Y96" i="22"/>
  <c r="Y93" i="22"/>
  <c r="Y92" i="22"/>
  <c r="Y97" i="22" s="1"/>
  <c r="Y101" i="22" s="1"/>
  <c r="V93" i="22" s="1"/>
  <c r="R91" i="22"/>
  <c r="O90" i="22"/>
  <c r="Q89" i="22"/>
  <c r="P89" i="22"/>
  <c r="O89" i="22"/>
  <c r="N89" i="22"/>
  <c r="M89" i="22"/>
  <c r="L89" i="22"/>
  <c r="K89" i="22"/>
  <c r="J89" i="22"/>
  <c r="F89" i="22"/>
  <c r="I88" i="22"/>
  <c r="H88" i="22"/>
  <c r="F88" i="22"/>
  <c r="I87" i="22"/>
  <c r="I89" i="22" s="1"/>
  <c r="H87" i="22"/>
  <c r="H89" i="22" s="1"/>
  <c r="G87" i="22"/>
  <c r="F87" i="22"/>
  <c r="I85" i="22"/>
  <c r="H85" i="22"/>
  <c r="Q83" i="22"/>
  <c r="Q84" i="22" s="1"/>
  <c r="P83" i="22"/>
  <c r="P84" i="22" s="1"/>
  <c r="P97" i="22" s="1"/>
  <c r="P98" i="22" s="1"/>
  <c r="M83" i="22"/>
  <c r="M84" i="22" s="1"/>
  <c r="M97" i="22" s="1"/>
  <c r="M98" i="22" s="1"/>
  <c r="L83" i="22"/>
  <c r="L84" i="22" s="1"/>
  <c r="L97" i="22" s="1"/>
  <c r="L98" i="22" s="1"/>
  <c r="H83" i="22"/>
  <c r="Q81" i="22"/>
  <c r="P81" i="22"/>
  <c r="O81" i="22"/>
  <c r="O83" i="22" s="1"/>
  <c r="O84" i="22" s="1"/>
  <c r="O97" i="22" s="1"/>
  <c r="O98" i="22" s="1"/>
  <c r="N81" i="22"/>
  <c r="N83" i="22" s="1"/>
  <c r="M81" i="22"/>
  <c r="L81" i="22"/>
  <c r="K81" i="22"/>
  <c r="K83" i="22" s="1"/>
  <c r="K84" i="22" s="1"/>
  <c r="J81" i="22"/>
  <c r="J83" i="22" s="1"/>
  <c r="J84" i="22" s="1"/>
  <c r="I81" i="22"/>
  <c r="H81" i="22"/>
  <c r="G77" i="22"/>
  <c r="R77" i="22" s="1"/>
  <c r="D77" i="22" s="1"/>
  <c r="F77" i="22"/>
  <c r="G76" i="22"/>
  <c r="R76" i="22" s="1"/>
  <c r="D76" i="22" s="1"/>
  <c r="F76" i="22"/>
  <c r="G75" i="22"/>
  <c r="R75" i="22" s="1"/>
  <c r="D75" i="22" s="1"/>
  <c r="F75" i="22"/>
  <c r="G74" i="22"/>
  <c r="R74" i="22" s="1"/>
  <c r="D74" i="22" s="1"/>
  <c r="F74" i="22"/>
  <c r="G73" i="22"/>
  <c r="R73" i="22" s="1"/>
  <c r="D73" i="22" s="1"/>
  <c r="F73" i="22"/>
  <c r="G72" i="22"/>
  <c r="R72" i="22" s="1"/>
  <c r="D72" i="22" s="1"/>
  <c r="F72" i="22"/>
  <c r="G71" i="22"/>
  <c r="R71" i="22" s="1"/>
  <c r="D71" i="22" s="1"/>
  <c r="F71" i="22"/>
  <c r="G70" i="22"/>
  <c r="R70" i="22" s="1"/>
  <c r="D70" i="22" s="1"/>
  <c r="F70" i="22"/>
  <c r="G69" i="22"/>
  <c r="R69" i="22" s="1"/>
  <c r="D69" i="22" s="1"/>
  <c r="F69" i="22"/>
  <c r="G68" i="22"/>
  <c r="R68" i="22" s="1"/>
  <c r="D68" i="22" s="1"/>
  <c r="F68" i="22"/>
  <c r="G67" i="22"/>
  <c r="R67" i="22" s="1"/>
  <c r="D67" i="22" s="1"/>
  <c r="F67" i="22"/>
  <c r="G66" i="22"/>
  <c r="R66" i="22" s="1"/>
  <c r="D66" i="22" s="1"/>
  <c r="F66" i="22"/>
  <c r="G65" i="22"/>
  <c r="R65" i="22" s="1"/>
  <c r="D65" i="22" s="1"/>
  <c r="G64" i="22"/>
  <c r="F64" i="22"/>
  <c r="R64" i="22" s="1"/>
  <c r="D64" i="22" s="1"/>
  <c r="G63" i="22"/>
  <c r="F63" i="22"/>
  <c r="R63" i="22" s="1"/>
  <c r="D63" i="22" s="1"/>
  <c r="G62" i="22"/>
  <c r="F62" i="22"/>
  <c r="R62" i="22" s="1"/>
  <c r="D62" i="22" s="1"/>
  <c r="G61" i="22"/>
  <c r="F61" i="22"/>
  <c r="R61" i="22" s="1"/>
  <c r="D61" i="22" s="1"/>
  <c r="G60" i="22"/>
  <c r="F60" i="22"/>
  <c r="R60" i="22" s="1"/>
  <c r="D60" i="22" s="1"/>
  <c r="G59" i="22"/>
  <c r="F59" i="22"/>
  <c r="R59" i="22" s="1"/>
  <c r="D59" i="22" s="1"/>
  <c r="G58" i="22"/>
  <c r="F58" i="22"/>
  <c r="R58" i="22" s="1"/>
  <c r="D58" i="22" s="1"/>
  <c r="G57" i="22"/>
  <c r="F57" i="22"/>
  <c r="R57" i="22" s="1"/>
  <c r="D57" i="22" s="1"/>
  <c r="G56" i="22"/>
  <c r="F56" i="22"/>
  <c r="R56" i="22" s="1"/>
  <c r="D56" i="22" s="1"/>
  <c r="R55" i="22"/>
  <c r="D55" i="22"/>
  <c r="R54" i="22"/>
  <c r="D54" i="22" s="1"/>
  <c r="G54" i="22"/>
  <c r="F54" i="22"/>
  <c r="R53" i="22"/>
  <c r="D53" i="22" s="1"/>
  <c r="G53" i="22"/>
  <c r="F53" i="22"/>
  <c r="R52" i="22"/>
  <c r="D52" i="22" s="1"/>
  <c r="G52" i="22"/>
  <c r="F52" i="22"/>
  <c r="R51" i="22"/>
  <c r="D51" i="22" s="1"/>
  <c r="G51" i="22"/>
  <c r="F51" i="22"/>
  <c r="R50" i="22"/>
  <c r="D50" i="22" s="1"/>
  <c r="G50" i="22"/>
  <c r="F50" i="22"/>
  <c r="R49" i="22"/>
  <c r="D49" i="22" s="1"/>
  <c r="G49" i="22"/>
  <c r="F49" i="22"/>
  <c r="R48" i="22"/>
  <c r="D48" i="22" s="1"/>
  <c r="G48" i="22"/>
  <c r="F48" i="22"/>
  <c r="R47" i="22"/>
  <c r="D47" i="22" s="1"/>
  <c r="G47" i="22"/>
  <c r="G46" i="22"/>
  <c r="R46" i="22" s="1"/>
  <c r="D46" i="22" s="1"/>
  <c r="F46" i="22"/>
  <c r="G45" i="22"/>
  <c r="R45" i="22" s="1"/>
  <c r="D45" i="22" s="1"/>
  <c r="G44" i="22"/>
  <c r="R44" i="22" s="1"/>
  <c r="D44" i="22" s="1"/>
  <c r="G43" i="22"/>
  <c r="R43" i="22" s="1"/>
  <c r="D43" i="22" s="1"/>
  <c r="R42" i="22"/>
  <c r="D42" i="22" s="1"/>
  <c r="G42" i="22"/>
  <c r="G41" i="22"/>
  <c r="R41" i="22" s="1"/>
  <c r="D41" i="22" s="1"/>
  <c r="F41" i="22"/>
  <c r="G40" i="22"/>
  <c r="R40" i="22" s="1"/>
  <c r="D40" i="22" s="1"/>
  <c r="F40" i="22"/>
  <c r="R39" i="22"/>
  <c r="D39" i="22"/>
  <c r="G38" i="22"/>
  <c r="F38" i="22"/>
  <c r="R38" i="22" s="1"/>
  <c r="D38" i="22" s="1"/>
  <c r="G37" i="22"/>
  <c r="F37" i="22"/>
  <c r="R37" i="22" s="1"/>
  <c r="D37" i="22" s="1"/>
  <c r="G36" i="22"/>
  <c r="R36" i="22" s="1"/>
  <c r="D36" i="22" s="1"/>
  <c r="R35" i="22"/>
  <c r="D35" i="22" s="1"/>
  <c r="G35" i="22"/>
  <c r="F35" i="22"/>
  <c r="R34" i="22"/>
  <c r="D34" i="22" s="1"/>
  <c r="G33" i="22"/>
  <c r="F33" i="22"/>
  <c r="R33" i="22" s="1"/>
  <c r="D33" i="22" s="1"/>
  <c r="G32" i="22"/>
  <c r="R32" i="22" s="1"/>
  <c r="D32" i="22" s="1"/>
  <c r="G31" i="22"/>
  <c r="F31" i="22"/>
  <c r="R31" i="22" s="1"/>
  <c r="D31" i="22" s="1"/>
  <c r="G30" i="22"/>
  <c r="F30" i="22"/>
  <c r="R30" i="22" s="1"/>
  <c r="D30" i="22" s="1"/>
  <c r="G29" i="22"/>
  <c r="R29" i="22" s="1"/>
  <c r="D29" i="22" s="1"/>
  <c r="R28" i="22"/>
  <c r="D28" i="22" s="1"/>
  <c r="G28" i="22"/>
  <c r="F28" i="22"/>
  <c r="R27" i="22"/>
  <c r="D27" i="22" s="1"/>
  <c r="G27" i="22"/>
  <c r="F27" i="22"/>
  <c r="R26" i="22"/>
  <c r="D26" i="22" s="1"/>
  <c r="G26" i="22"/>
  <c r="F26" i="22"/>
  <c r="R25" i="22"/>
  <c r="D25" i="22" s="1"/>
  <c r="G25" i="22"/>
  <c r="F25" i="22"/>
  <c r="R24" i="22"/>
  <c r="D24" i="22" s="1"/>
  <c r="G23" i="22"/>
  <c r="F23" i="22"/>
  <c r="R23" i="22" s="1"/>
  <c r="D23" i="22" s="1"/>
  <c r="G22" i="22"/>
  <c r="F22" i="22"/>
  <c r="R22" i="22" s="1"/>
  <c r="D22" i="22" s="1"/>
  <c r="G21" i="22"/>
  <c r="F21" i="22"/>
  <c r="R21" i="22" s="1"/>
  <c r="D21" i="22" s="1"/>
  <c r="G20" i="22"/>
  <c r="F20" i="22"/>
  <c r="R20" i="22" s="1"/>
  <c r="D20" i="22" s="1"/>
  <c r="G19" i="22"/>
  <c r="F19" i="22"/>
  <c r="R19" i="22" s="1"/>
  <c r="D19" i="22" s="1"/>
  <c r="G18" i="22"/>
  <c r="F18" i="22"/>
  <c r="R18" i="22" s="1"/>
  <c r="D18" i="22" s="1"/>
  <c r="G17" i="22"/>
  <c r="R17" i="22" s="1"/>
  <c r="D17" i="22" s="1"/>
  <c r="G16" i="22"/>
  <c r="F16" i="22"/>
  <c r="R16" i="22" s="1"/>
  <c r="D16" i="22" s="1"/>
  <c r="G15" i="22"/>
  <c r="R15" i="22" s="1"/>
  <c r="D15" i="22" s="1"/>
  <c r="R14" i="22"/>
  <c r="D14" i="22" s="1"/>
  <c r="G14" i="22"/>
  <c r="F14" i="22"/>
  <c r="R13" i="22"/>
  <c r="D13" i="22" s="1"/>
  <c r="G13" i="22"/>
  <c r="F13" i="22"/>
  <c r="R12" i="22"/>
  <c r="D12" i="22" s="1"/>
  <c r="G12" i="22"/>
  <c r="F12" i="22"/>
  <c r="R11" i="22"/>
  <c r="D11" i="22" s="1"/>
  <c r="G11" i="22"/>
  <c r="F11" i="22"/>
  <c r="R10" i="22"/>
  <c r="D10" i="22" s="1"/>
  <c r="G10" i="22"/>
  <c r="F10" i="22"/>
  <c r="R9" i="22"/>
  <c r="D9" i="22" s="1"/>
  <c r="G9" i="22"/>
  <c r="F9" i="22"/>
  <c r="R8" i="22"/>
  <c r="D8" i="22" s="1"/>
  <c r="G8" i="22"/>
  <c r="F8" i="22"/>
  <c r="R7" i="22"/>
  <c r="G7" i="22"/>
  <c r="F7" i="22"/>
  <c r="F6" i="22"/>
  <c r="I5" i="22"/>
  <c r="I6" i="22" s="1"/>
  <c r="I83" i="22" s="1"/>
  <c r="H5" i="22"/>
  <c r="H6" i="22" s="1"/>
  <c r="G5" i="22"/>
  <c r="F5" i="22"/>
  <c r="R5" i="22" s="1"/>
  <c r="D5" i="22" s="1"/>
  <c r="O81" i="23" l="1"/>
  <c r="F89" i="23"/>
  <c r="F83" i="23"/>
  <c r="F85" i="23"/>
  <c r="R81" i="22"/>
  <c r="R6" i="22"/>
  <c r="R83" i="22" s="1"/>
  <c r="F81" i="22"/>
  <c r="F85" i="22" s="1"/>
  <c r="D7" i="22"/>
  <c r="G81" i="22"/>
  <c r="F83" i="22"/>
  <c r="G6" i="22"/>
  <c r="O83" i="23" l="1"/>
  <c r="D80" i="23"/>
  <c r="D81" i="23" s="1"/>
  <c r="D82" i="23"/>
  <c r="G88" i="22"/>
  <c r="G85" i="22"/>
  <c r="G83" i="22"/>
  <c r="D82" i="22"/>
  <c r="D80" i="22"/>
  <c r="D81" i="22" s="1"/>
  <c r="I92" i="21"/>
  <c r="I94" i="21" s="1"/>
  <c r="I90" i="21"/>
  <c r="I93" i="21"/>
  <c r="S96" i="21"/>
  <c r="I86" i="21"/>
  <c r="D36" i="21"/>
  <c r="D17" i="21"/>
  <c r="D69" i="21"/>
  <c r="G5" i="21"/>
  <c r="H5" i="21"/>
  <c r="I5" i="21"/>
  <c r="I6" i="21" s="1"/>
  <c r="I88" i="21" s="1"/>
  <c r="D58" i="21"/>
  <c r="G89" i="22" l="1"/>
  <c r="R88" i="22"/>
  <c r="H92" i="21"/>
  <c r="D41" i="21"/>
  <c r="H6" i="21"/>
  <c r="Q62" i="20" l="1"/>
  <c r="Q107" i="21" l="1"/>
  <c r="P107" i="21"/>
  <c r="Q103" i="21"/>
  <c r="N102" i="21"/>
  <c r="N103" i="21" s="1"/>
  <c r="Z101" i="21"/>
  <c r="Z98" i="21"/>
  <c r="Z97" i="21"/>
  <c r="Z102" i="21" s="1"/>
  <c r="Z106" i="21" s="1"/>
  <c r="W98" i="21" s="1"/>
  <c r="O95" i="21"/>
  <c r="J94" i="21"/>
  <c r="F93" i="21"/>
  <c r="G92" i="21"/>
  <c r="F92" i="21"/>
  <c r="F94" i="21" s="1"/>
  <c r="N88" i="21"/>
  <c r="Q86" i="21"/>
  <c r="Q88" i="21" s="1"/>
  <c r="Q89" i="21" s="1"/>
  <c r="P86" i="21"/>
  <c r="P88" i="21" s="1"/>
  <c r="P89" i="21" s="1"/>
  <c r="P102" i="21" s="1"/>
  <c r="P103" i="21" s="1"/>
  <c r="O86" i="21"/>
  <c r="O88" i="21" s="1"/>
  <c r="O89" i="21" s="1"/>
  <c r="O102" i="21" s="1"/>
  <c r="O103" i="21" s="1"/>
  <c r="N86" i="21"/>
  <c r="M86" i="21"/>
  <c r="M88" i="21" s="1"/>
  <c r="M89" i="21" s="1"/>
  <c r="M102" i="21" s="1"/>
  <c r="M103" i="21" s="1"/>
  <c r="L86" i="21"/>
  <c r="L88" i="21" s="1"/>
  <c r="L89" i="21" s="1"/>
  <c r="L102" i="21" s="1"/>
  <c r="L103" i="21" s="1"/>
  <c r="K86" i="21"/>
  <c r="K88" i="21" s="1"/>
  <c r="K89" i="21" s="1"/>
  <c r="J86" i="21"/>
  <c r="J88" i="21" s="1"/>
  <c r="H86" i="21"/>
  <c r="G82" i="21"/>
  <c r="D82" i="21" s="1"/>
  <c r="F82" i="21"/>
  <c r="G81" i="21"/>
  <c r="F81" i="21"/>
  <c r="D81" i="21" s="1"/>
  <c r="G80" i="21"/>
  <c r="F80" i="21"/>
  <c r="D80" i="21" s="1"/>
  <c r="D79" i="21"/>
  <c r="G79" i="21"/>
  <c r="F79" i="21"/>
  <c r="G78" i="21"/>
  <c r="D78" i="21" s="1"/>
  <c r="F78" i="21"/>
  <c r="G77" i="21"/>
  <c r="F77" i="21"/>
  <c r="D77" i="21" s="1"/>
  <c r="G76" i="21"/>
  <c r="F76" i="21"/>
  <c r="D76" i="21" s="1"/>
  <c r="D74" i="21"/>
  <c r="G74" i="21"/>
  <c r="F74" i="21"/>
  <c r="G73" i="21"/>
  <c r="D73" i="21" s="1"/>
  <c r="F73" i="21"/>
  <c r="G72" i="21"/>
  <c r="F72" i="21"/>
  <c r="D72" i="21" s="1"/>
  <c r="G71" i="21"/>
  <c r="F71" i="21"/>
  <c r="D71" i="21" s="1"/>
  <c r="D70" i="21"/>
  <c r="G70" i="21"/>
  <c r="F70" i="21"/>
  <c r="G69" i="21"/>
  <c r="G68" i="21"/>
  <c r="F68" i="21"/>
  <c r="G67" i="21"/>
  <c r="F67" i="21"/>
  <c r="D67" i="21" s="1"/>
  <c r="G66" i="21"/>
  <c r="F66" i="21"/>
  <c r="G64" i="21"/>
  <c r="F64" i="21"/>
  <c r="D64" i="21" s="1"/>
  <c r="G63" i="21"/>
  <c r="F63" i="21"/>
  <c r="G62" i="21"/>
  <c r="F62" i="21"/>
  <c r="D62" i="21" s="1"/>
  <c r="G61" i="21"/>
  <c r="F61" i="21"/>
  <c r="G60" i="21"/>
  <c r="F60" i="21"/>
  <c r="D60" i="21" s="1"/>
  <c r="G59" i="21"/>
  <c r="F59" i="21"/>
  <c r="G57" i="21"/>
  <c r="F57" i="21"/>
  <c r="D57" i="21" s="1"/>
  <c r="G56" i="21"/>
  <c r="F56" i="21"/>
  <c r="G55" i="21"/>
  <c r="F55" i="21"/>
  <c r="D55" i="21" s="1"/>
  <c r="G54" i="21"/>
  <c r="F54" i="21"/>
  <c r="G53" i="21"/>
  <c r="F53" i="21"/>
  <c r="D53" i="21" s="1"/>
  <c r="G52" i="21"/>
  <c r="F52" i="21"/>
  <c r="G51" i="21"/>
  <c r="F51" i="21"/>
  <c r="D51" i="21" s="1"/>
  <c r="G50" i="21"/>
  <c r="D50" i="21" s="1"/>
  <c r="G49" i="21"/>
  <c r="F49" i="21"/>
  <c r="D49" i="21" s="1"/>
  <c r="D47" i="21"/>
  <c r="G47" i="21"/>
  <c r="G46" i="21"/>
  <c r="D46" i="21" s="1"/>
  <c r="G45" i="21"/>
  <c r="D45" i="21" s="1"/>
  <c r="G44" i="21"/>
  <c r="D44" i="21" s="1"/>
  <c r="G43" i="21"/>
  <c r="F43" i="21"/>
  <c r="D43" i="21" s="1"/>
  <c r="G42" i="21"/>
  <c r="F42" i="21"/>
  <c r="D42" i="21" s="1"/>
  <c r="D40" i="21"/>
  <c r="G40" i="21"/>
  <c r="F40" i="21"/>
  <c r="G39" i="21"/>
  <c r="D39" i="21" s="1"/>
  <c r="F39" i="21"/>
  <c r="G38" i="21"/>
  <c r="D38" i="21" s="1"/>
  <c r="G37" i="21"/>
  <c r="D37" i="21" s="1"/>
  <c r="F37" i="21"/>
  <c r="G35" i="21"/>
  <c r="F35" i="21"/>
  <c r="G34" i="21"/>
  <c r="D34" i="21" s="1"/>
  <c r="G33" i="21"/>
  <c r="F33" i="21"/>
  <c r="G32" i="21"/>
  <c r="F32" i="21"/>
  <c r="D32" i="21" s="1"/>
  <c r="G31" i="21"/>
  <c r="D31" i="21"/>
  <c r="G30" i="21"/>
  <c r="F30" i="21"/>
  <c r="G29" i="21"/>
  <c r="F29" i="21"/>
  <c r="D29" i="21" s="1"/>
  <c r="G28" i="21"/>
  <c r="F28" i="21"/>
  <c r="G27" i="21"/>
  <c r="F27" i="21"/>
  <c r="D27" i="21" s="1"/>
  <c r="D26" i="21"/>
  <c r="G25" i="21"/>
  <c r="D25" i="21" s="1"/>
  <c r="F25" i="21"/>
  <c r="G24" i="21"/>
  <c r="F24" i="21"/>
  <c r="G23" i="21"/>
  <c r="D23" i="21" s="1"/>
  <c r="F23" i="21"/>
  <c r="G22" i="21"/>
  <c r="F22" i="21"/>
  <c r="G21" i="21"/>
  <c r="D21" i="21" s="1"/>
  <c r="F21" i="21"/>
  <c r="G20" i="21"/>
  <c r="F20" i="21"/>
  <c r="G17" i="21"/>
  <c r="G16" i="21"/>
  <c r="F16" i="21"/>
  <c r="D15" i="21"/>
  <c r="G15" i="21"/>
  <c r="G14" i="21"/>
  <c r="F14" i="21"/>
  <c r="D14" i="21" s="1"/>
  <c r="G13" i="21"/>
  <c r="F13" i="21"/>
  <c r="G12" i="21"/>
  <c r="F12" i="21"/>
  <c r="D12" i="21" s="1"/>
  <c r="G11" i="21"/>
  <c r="F11" i="21"/>
  <c r="G10" i="21"/>
  <c r="F10" i="21"/>
  <c r="D10" i="21" s="1"/>
  <c r="G9" i="21"/>
  <c r="F9" i="21"/>
  <c r="G8" i="21"/>
  <c r="F8" i="21"/>
  <c r="D8" i="21" s="1"/>
  <c r="G7" i="21"/>
  <c r="F7" i="21"/>
  <c r="G6" i="21"/>
  <c r="F5" i="21"/>
  <c r="F86" i="21" l="1"/>
  <c r="F90" i="21" s="1"/>
  <c r="D22" i="21"/>
  <c r="D24" i="21"/>
  <c r="H88" i="21"/>
  <c r="H90" i="21"/>
  <c r="H93" i="21"/>
  <c r="H94" i="21" s="1"/>
  <c r="D20" i="21"/>
  <c r="D9" i="21"/>
  <c r="D11" i="21"/>
  <c r="D13" i="21"/>
  <c r="D33" i="21"/>
  <c r="D35" i="21"/>
  <c r="G86" i="21"/>
  <c r="G93" i="21" s="1"/>
  <c r="D28" i="21"/>
  <c r="D30" i="21"/>
  <c r="D52" i="21"/>
  <c r="D54" i="21"/>
  <c r="D56" i="21"/>
  <c r="D59" i="21"/>
  <c r="D61" i="21"/>
  <c r="D63" i="21"/>
  <c r="D66" i="21"/>
  <c r="D68" i="21"/>
  <c r="F88" i="21"/>
  <c r="D7" i="21"/>
  <c r="D5" i="21"/>
  <c r="F6" i="21"/>
  <c r="D16" i="21"/>
  <c r="G84" i="20"/>
  <c r="G67" i="20"/>
  <c r="Q75" i="20"/>
  <c r="Q76" i="20"/>
  <c r="Q77" i="20"/>
  <c r="G15" i="20"/>
  <c r="Q15" i="20" s="1"/>
  <c r="D15" i="20" s="1"/>
  <c r="G29" i="20"/>
  <c r="Q29" i="20" s="1"/>
  <c r="D29" i="20" s="1"/>
  <c r="G62" i="20"/>
  <c r="G32" i="20"/>
  <c r="Q32" i="20" s="1"/>
  <c r="D32" i="20" s="1"/>
  <c r="G43" i="20"/>
  <c r="Q43" i="20" s="1"/>
  <c r="D43" i="20" s="1"/>
  <c r="G42" i="20"/>
  <c r="Q42" i="20" s="1"/>
  <c r="D42" i="20" s="1"/>
  <c r="G41" i="20"/>
  <c r="Q41" i="20" s="1"/>
  <c r="D41" i="20" s="1"/>
  <c r="G40" i="20"/>
  <c r="Q40" i="20" s="1"/>
  <c r="D40" i="20" s="1"/>
  <c r="G39" i="20"/>
  <c r="G28" i="20"/>
  <c r="G45" i="20"/>
  <c r="G35" i="20"/>
  <c r="G33" i="20"/>
  <c r="G64" i="20"/>
  <c r="G17" i="20"/>
  <c r="G16" i="20"/>
  <c r="G23" i="20"/>
  <c r="G46" i="20"/>
  <c r="G37" i="20"/>
  <c r="G48" i="20"/>
  <c r="G36" i="20"/>
  <c r="G55" i="20"/>
  <c r="G50" i="20"/>
  <c r="G57" i="20"/>
  <c r="G47" i="20"/>
  <c r="G68" i="20"/>
  <c r="G11" i="20"/>
  <c r="G60" i="20"/>
  <c r="G69" i="20"/>
  <c r="G26" i="20"/>
  <c r="G30" i="20"/>
  <c r="G44" i="20"/>
  <c r="G61" i="20"/>
  <c r="G27" i="20"/>
  <c r="G56" i="20"/>
  <c r="G25" i="20"/>
  <c r="G70" i="20"/>
  <c r="G52" i="20"/>
  <c r="G49" i="20"/>
  <c r="G66" i="20"/>
  <c r="G63" i="20"/>
  <c r="G71" i="20"/>
  <c r="G18" i="20"/>
  <c r="G73" i="20"/>
  <c r="G65" i="20"/>
  <c r="G58" i="20"/>
  <c r="G21" i="20"/>
  <c r="G51" i="20"/>
  <c r="G22" i="20"/>
  <c r="G74" i="20"/>
  <c r="G72" i="20"/>
  <c r="G54" i="20"/>
  <c r="G59" i="20"/>
  <c r="G20" i="20"/>
  <c r="G53" i="20"/>
  <c r="G19" i="20"/>
  <c r="G38" i="20"/>
  <c r="G34" i="20"/>
  <c r="G31" i="20"/>
  <c r="G13" i="20"/>
  <c r="G14" i="20"/>
  <c r="G12" i="20"/>
  <c r="G10" i="20"/>
  <c r="G9" i="20"/>
  <c r="G8" i="20"/>
  <c r="G7" i="20"/>
  <c r="G5" i="20"/>
  <c r="G6" i="20" s="1"/>
  <c r="D86" i="21" l="1"/>
  <c r="G88" i="21"/>
  <c r="G90" i="21"/>
  <c r="G94" i="21"/>
  <c r="S86" i="21"/>
  <c r="S88" i="21" s="1"/>
  <c r="D87" i="21"/>
  <c r="F85" i="20"/>
  <c r="F84" i="20"/>
  <c r="F39" i="20"/>
  <c r="Q39" i="20" s="1"/>
  <c r="D39" i="20" s="1"/>
  <c r="F28" i="20"/>
  <c r="F33" i="20"/>
  <c r="F64" i="20"/>
  <c r="F16" i="20"/>
  <c r="F23" i="20"/>
  <c r="F46" i="20"/>
  <c r="F37" i="20"/>
  <c r="F48" i="20"/>
  <c r="F36" i="20"/>
  <c r="F55" i="20"/>
  <c r="F50" i="20"/>
  <c r="F57" i="20"/>
  <c r="F47" i="20"/>
  <c r="F68" i="20"/>
  <c r="F11" i="20"/>
  <c r="F60" i="20"/>
  <c r="F69" i="20"/>
  <c r="F26" i="20"/>
  <c r="F30" i="20"/>
  <c r="F44" i="20"/>
  <c r="F61" i="20"/>
  <c r="F27" i="20"/>
  <c r="F56" i="20"/>
  <c r="F25" i="20"/>
  <c r="F70" i="20"/>
  <c r="F67" i="20"/>
  <c r="F52" i="20"/>
  <c r="F49" i="20"/>
  <c r="F66" i="20"/>
  <c r="F63" i="20"/>
  <c r="F71" i="20"/>
  <c r="F18" i="20"/>
  <c r="F73" i="20"/>
  <c r="F65" i="20"/>
  <c r="F58" i="20"/>
  <c r="F21" i="20"/>
  <c r="F51" i="20"/>
  <c r="F22" i="20"/>
  <c r="F74" i="20"/>
  <c r="F72" i="20"/>
  <c r="F54" i="20"/>
  <c r="F59" i="20"/>
  <c r="F20" i="20"/>
  <c r="F53" i="20"/>
  <c r="F19" i="20"/>
  <c r="F38" i="20"/>
  <c r="F34" i="20"/>
  <c r="F31" i="20"/>
  <c r="F13" i="20"/>
  <c r="F14" i="20"/>
  <c r="F12" i="20"/>
  <c r="F10" i="20"/>
  <c r="F7" i="20"/>
  <c r="F9" i="20"/>
  <c r="F8" i="20"/>
  <c r="F5" i="20"/>
  <c r="F6" i="20"/>
  <c r="P99" i="20" l="1"/>
  <c r="O99" i="20"/>
  <c r="P95" i="20"/>
  <c r="M94" i="20"/>
  <c r="M95" i="20" s="1"/>
  <c r="X93" i="20"/>
  <c r="X90" i="20"/>
  <c r="X89" i="20"/>
  <c r="X94" i="20" s="1"/>
  <c r="X98" i="20" s="1"/>
  <c r="U90" i="20" s="1"/>
  <c r="N87" i="20"/>
  <c r="J86" i="20"/>
  <c r="I86" i="20"/>
  <c r="P86" i="20"/>
  <c r="O86" i="20"/>
  <c r="N86" i="20"/>
  <c r="M86" i="20"/>
  <c r="L86" i="20"/>
  <c r="K86" i="20"/>
  <c r="H86" i="20"/>
  <c r="F86" i="20"/>
  <c r="P78" i="20"/>
  <c r="O78" i="20"/>
  <c r="O80" i="20" s="1"/>
  <c r="O81" i="20" s="1"/>
  <c r="O94" i="20" s="1"/>
  <c r="O95" i="20" s="1"/>
  <c r="N78" i="20"/>
  <c r="N80" i="20" s="1"/>
  <c r="N81" i="20" s="1"/>
  <c r="M78" i="20"/>
  <c r="M80" i="20" s="1"/>
  <c r="H78" i="20"/>
  <c r="H80" i="20" s="1"/>
  <c r="H81" i="20" s="1"/>
  <c r="G78" i="20"/>
  <c r="F78" i="20"/>
  <c r="Q73" i="20"/>
  <c r="D73" i="20" s="1"/>
  <c r="Q72" i="20"/>
  <c r="D72" i="20" s="1"/>
  <c r="Q69" i="20"/>
  <c r="D69" i="20" s="1"/>
  <c r="Q66" i="20"/>
  <c r="D66" i="20" s="1"/>
  <c r="Q64" i="20"/>
  <c r="D64" i="20" s="1"/>
  <c r="Q61" i="20"/>
  <c r="D61" i="20" s="1"/>
  <c r="Q60" i="20"/>
  <c r="D60" i="20" s="1"/>
  <c r="Q59" i="20"/>
  <c r="D59" i="20" s="1"/>
  <c r="Q57" i="20"/>
  <c r="D57" i="20" s="1"/>
  <c r="Q56" i="20"/>
  <c r="D56" i="20" s="1"/>
  <c r="Q55" i="20"/>
  <c r="D55" i="20" s="1"/>
  <c r="Q54" i="20"/>
  <c r="D54" i="20" s="1"/>
  <c r="Q51" i="20"/>
  <c r="D51" i="20" s="1"/>
  <c r="Q50" i="20"/>
  <c r="D50" i="20" s="1"/>
  <c r="Q47" i="20"/>
  <c r="D47" i="20" s="1"/>
  <c r="Q45" i="20"/>
  <c r="D45" i="20" s="1"/>
  <c r="Q37" i="20"/>
  <c r="D37" i="20" s="1"/>
  <c r="Q35" i="20"/>
  <c r="D35" i="20" s="1"/>
  <c r="Q33" i="20"/>
  <c r="D33" i="20" s="1"/>
  <c r="Q31" i="20"/>
  <c r="D31" i="20" s="1"/>
  <c r="Q30" i="20"/>
  <c r="D30" i="20" s="1"/>
  <c r="Q28" i="20"/>
  <c r="D28" i="20" s="1"/>
  <c r="Q27" i="20"/>
  <c r="D27" i="20" s="1"/>
  <c r="Q24" i="20"/>
  <c r="D24" i="20" s="1"/>
  <c r="Q23" i="20"/>
  <c r="D23" i="20" s="1"/>
  <c r="Q22" i="20"/>
  <c r="D22" i="20" s="1"/>
  <c r="Q21" i="20"/>
  <c r="D21" i="20" s="1"/>
  <c r="Q18" i="20"/>
  <c r="D18" i="20" s="1"/>
  <c r="Q17" i="20"/>
  <c r="D17" i="20" s="1"/>
  <c r="Q16" i="20"/>
  <c r="D16" i="20" s="1"/>
  <c r="Q14" i="20"/>
  <c r="D14" i="20" s="1"/>
  <c r="Q13" i="20"/>
  <c r="D13" i="20" s="1"/>
  <c r="Q12" i="20"/>
  <c r="D12" i="20" s="1"/>
  <c r="K78" i="20"/>
  <c r="G80" i="20" l="1"/>
  <c r="G82" i="20"/>
  <c r="G85" i="20"/>
  <c r="F80" i="20"/>
  <c r="F82" i="20"/>
  <c r="Q70" i="20"/>
  <c r="D70" i="20" s="1"/>
  <c r="Q8" i="20"/>
  <c r="D8" i="20" s="1"/>
  <c r="Q19" i="20"/>
  <c r="D19" i="20" s="1"/>
  <c r="Q25" i="20"/>
  <c r="D25" i="20" s="1"/>
  <c r="Q34" i="20"/>
  <c r="D34" i="20" s="1"/>
  <c r="Q44" i="20"/>
  <c r="D44" i="20" s="1"/>
  <c r="Q49" i="20"/>
  <c r="D49" i="20" s="1"/>
  <c r="Q52" i="20"/>
  <c r="D52" i="20" s="1"/>
  <c r="Q58" i="20"/>
  <c r="D58" i="20" s="1"/>
  <c r="Q68" i="20"/>
  <c r="D68" i="20" s="1"/>
  <c r="Q71" i="20"/>
  <c r="D71" i="20" s="1"/>
  <c r="Q74" i="20"/>
  <c r="D74" i="20" s="1"/>
  <c r="Q38" i="20"/>
  <c r="D38" i="20" s="1"/>
  <c r="Q48" i="20"/>
  <c r="D48" i="20" s="1"/>
  <c r="Q67" i="20"/>
  <c r="D67" i="20" s="1"/>
  <c r="J78" i="20"/>
  <c r="J80" i="20" s="1"/>
  <c r="J81" i="20" s="1"/>
  <c r="Q11" i="20"/>
  <c r="D11" i="20" s="1"/>
  <c r="Q20" i="20"/>
  <c r="D20" i="20" s="1"/>
  <c r="Q26" i="20"/>
  <c r="D26" i="20" s="1"/>
  <c r="Q36" i="20"/>
  <c r="D36" i="20" s="1"/>
  <c r="Q46" i="20"/>
  <c r="D46" i="20" s="1"/>
  <c r="Q53" i="20"/>
  <c r="D53" i="20" s="1"/>
  <c r="Q63" i="20"/>
  <c r="D63" i="20" s="1"/>
  <c r="Q65" i="20"/>
  <c r="D65" i="20" s="1"/>
  <c r="K80" i="20"/>
  <c r="K81" i="20" s="1"/>
  <c r="K94" i="20" s="1"/>
  <c r="K95" i="20" s="1"/>
  <c r="P80" i="20"/>
  <c r="P81" i="20" s="1"/>
  <c r="L78" i="20"/>
  <c r="L80" i="20" s="1"/>
  <c r="L81" i="20" s="1"/>
  <c r="L94" i="20" s="1"/>
  <c r="L95" i="20" s="1"/>
  <c r="Q9" i="20"/>
  <c r="D9" i="20" s="1"/>
  <c r="N94" i="20"/>
  <c r="N95" i="20" s="1"/>
  <c r="Q7" i="20"/>
  <c r="Q10" i="20"/>
  <c r="D10" i="20" s="1"/>
  <c r="I78" i="20"/>
  <c r="I80" i="20" s="1"/>
  <c r="I81" i="20" s="1"/>
  <c r="Q5" i="20"/>
  <c r="Q85" i="20" l="1"/>
  <c r="G86" i="20"/>
  <c r="Q6" i="20"/>
  <c r="D5" i="20"/>
  <c r="Q78" i="20"/>
  <c r="D7" i="20"/>
  <c r="Q80" i="20" l="1"/>
  <c r="D77" i="20"/>
  <c r="D78" i="20" s="1"/>
  <c r="D79" i="20"/>
</calcChain>
</file>

<file path=xl/sharedStrings.xml><?xml version="1.0" encoding="utf-8"?>
<sst xmlns="http://schemas.openxmlformats.org/spreadsheetml/2006/main" count="415" uniqueCount="107">
  <si>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</si>
  <si>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</si>
  <si>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</si>
  <si>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</si>
  <si>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</si>
  <si>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</si>
  <si>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</si>
  <si>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</si>
  <si>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</si>
  <si>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</si>
  <si>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</si>
  <si>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</si>
  <si>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</si>
  <si>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</si>
  <si>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</si>
  <si>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</si>
  <si>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</si>
  <si>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</si>
  <si>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</si>
  <si>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</si>
  <si>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</si>
  <si>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</si>
  <si>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</si>
  <si>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</si>
  <si>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</si>
  <si>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</si>
  <si>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</si>
  <si>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</si>
  <si>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</si>
  <si>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</si>
  <si>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</si>
  <si>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</si>
  <si>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</si>
  <si>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</si>
  <si>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</si>
  <si>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</si>
  <si>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</si>
  <si>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</si>
  <si>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</si>
  <si>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</si>
  <si>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</si>
  <si>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</si>
  <si>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</si>
  <si>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</si>
  <si>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</si>
  <si>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</si>
  <si>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</si>
  <si>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</si>
  <si>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</si>
  <si>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</si>
  <si>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</si>
  <si>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</si>
  <si>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</si>
  <si>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</si>
  <si>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</si>
  <si>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</si>
  <si>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</si>
  <si>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</si>
  <si>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</si>
  <si>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</si>
  <si>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</si>
  <si>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</si>
  <si>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</si>
  <si>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</si>
  <si>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</si>
  <si>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</si>
  <si>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</si>
  <si>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</si>
  <si>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</si>
  <si>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</si>
  <si>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</si>
  <si>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</si>
  <si>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</si>
  <si>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</si>
  <si>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</si>
  <si>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</si>
  <si>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cocida </t>
  </si>
  <si>
    <t xml:space="preserve">t4 Beneficiarios </t>
  </si>
  <si>
    <t>crudas</t>
  </si>
  <si>
    <t>carcel</t>
  </si>
  <si>
    <t>inst</t>
  </si>
  <si>
    <t>donadas</t>
  </si>
  <si>
    <t xml:space="preserve">Diciembre </t>
  </si>
  <si>
    <t>progra.</t>
  </si>
  <si>
    <t>HM</t>
  </si>
  <si>
    <t xml:space="preserve">Villa Altagracia </t>
  </si>
  <si>
    <t>La Cienega</t>
  </si>
  <si>
    <t>COCINA MOVIL</t>
  </si>
  <si>
    <t>FIJO</t>
  </si>
  <si>
    <t>UASD Sto.Dgo</t>
  </si>
  <si>
    <t xml:space="preserve">Cabral </t>
  </si>
  <si>
    <t>Peñon</t>
  </si>
  <si>
    <t>Jaquimeyes</t>
  </si>
  <si>
    <t>Mena</t>
  </si>
  <si>
    <t>Las Yayas</t>
  </si>
  <si>
    <t>Nizao</t>
  </si>
  <si>
    <t>Herrera</t>
  </si>
  <si>
    <t>UASD San Francisco</t>
  </si>
  <si>
    <t>Polo</t>
  </si>
  <si>
    <t>Oviedo</t>
  </si>
  <si>
    <t>Padre de las Casas</t>
  </si>
  <si>
    <t>Producción de Raciones Cocidas Abril 2023</t>
  </si>
  <si>
    <t>CEA</t>
  </si>
  <si>
    <t>Cien Fuegos</t>
  </si>
  <si>
    <t>La Victoria</t>
  </si>
  <si>
    <t>Vicente Noble</t>
  </si>
  <si>
    <t>Jima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</si>
</sst>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(* #,##0.0_);_(* \(#,##0.0\);_(* &quot;-&quot;??_);_(@_)"/>
    <numFmt numFmtId="168" formatCode="_(* #,##0.0000_);_(* \(#,##0.0000\);_(* &quot;-&quot;??_);_(@_)"/>
    <numFmt numFmtId="169" formatCode="_(* #,##0.00000_);_(* \(#,##0.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5" borderId="1" xfId="0" applyNumberFormat="1" applyFill="1" applyBorder="1"/>
    <xf numFmtId="164" fontId="0" fillId="0" borderId="0" xfId="0" applyNumberFormat="1"/>
    <xf numFmtId="4" fontId="0" fillId="6" borderId="1" xfId="0" applyNumberFormat="1" applyFill="1" applyBorder="1"/>
    <xf numFmtId="0" fontId="0" fillId="0" borderId="0" xfId="0" applyAlignment="1">
      <alignment horizontal="center"/>
    </xf>
    <xf numFmtId="165" fontId="0" fillId="6" borderId="1" xfId="0" applyNumberFormat="1" applyFill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166" fontId="0" fillId="0" borderId="0" xfId="1" applyNumberFormat="1" applyFont="1"/>
    <xf numFmtId="3" fontId="2" fillId="7" borderId="6" xfId="0" applyNumberFormat="1" applyFont="1" applyFill="1" applyBorder="1" applyAlignment="1">
      <alignment horizontal="right" vertical="center"/>
    </xf>
    <xf numFmtId="43" fontId="6" fillId="0" borderId="0" xfId="0" applyNumberFormat="1" applyFont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8" borderId="2" xfId="0" applyNumberFormat="1" applyFill="1" applyBorder="1"/>
    <xf numFmtId="0" fontId="0" fillId="7" borderId="0" xfId="0" applyFill="1"/>
    <xf numFmtId="164" fontId="0" fillId="7" borderId="0" xfId="0" applyNumberFormat="1" applyFill="1" applyBorder="1"/>
    <xf numFmtId="43" fontId="0" fillId="6" borderId="1" xfId="1" applyFont="1" applyFill="1" applyBorder="1"/>
    <xf numFmtId="43" fontId="10" fillId="0" borderId="0" xfId="1" applyFont="1"/>
    <xf numFmtId="4" fontId="8" fillId="0" borderId="0" xfId="0" applyNumberFormat="1" applyFont="1"/>
    <xf numFmtId="4" fontId="0" fillId="0" borderId="0" xfId="1" applyNumberFormat="1" applyFont="1"/>
    <xf numFmtId="43" fontId="8" fillId="0" borderId="0" xfId="0" applyNumberFormat="1" applyFont="1"/>
    <xf numFmtId="166" fontId="0" fillId="7" borderId="0" xfId="0" applyNumberFormat="1" applyFill="1"/>
    <xf numFmtId="0" fontId="0" fillId="5" borderId="1" xfId="0" applyFill="1" applyBorder="1" applyAlignment="1">
      <alignment horizontal="center" vertical="top" wrapText="1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4" fillId="8" borderId="20" xfId="0" applyNumberFormat="1" applyFont="1" applyFill="1" applyBorder="1" applyAlignment="1">
      <alignment vertical="center"/>
    </xf>
    <xf numFmtId="164" fontId="0" fillId="8" borderId="1" xfId="0" applyNumberFormat="1" applyFill="1" applyBorder="1" applyAlignment="1"/>
    <xf numFmtId="164" fontId="0" fillId="8" borderId="0" xfId="0" applyNumberFormat="1" applyFill="1" applyAlignment="1"/>
    <xf numFmtId="168" fontId="0" fillId="0" borderId="0" xfId="1" applyNumberFormat="1" applyFont="1"/>
    <xf numFmtId="166" fontId="0" fillId="5" borderId="0" xfId="0" applyNumberFormat="1" applyFill="1"/>
    <xf numFmtId="0" fontId="0" fillId="0" borderId="0" xfId="0" applyAlignment="1">
      <alignment vertical="top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5" borderId="1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0" fontId="1" fillId="2" borderId="13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justify" vertical="top"/>
    </xf>
    <xf numFmtId="0" fontId="2" fillId="4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0" fontId="3" fillId="7" borderId="0" xfId="0" applyFont="1" applyFill="1" applyBorder="1" applyAlignment="1">
      <alignment horizontal="justify" vertical="top"/>
    </xf>
    <xf numFmtId="164" fontId="0" fillId="0" borderId="0" xfId="0" applyNumberFormat="1" applyAlignment="1">
      <alignment vertical="top"/>
    </xf>
    <xf numFmtId="0" fontId="2" fillId="7" borderId="5" xfId="0" applyFont="1" applyFill="1" applyBorder="1" applyAlignment="1">
      <alignment horizontal="justify"/>
    </xf>
    <xf numFmtId="0" fontId="2" fillId="4" borderId="5" xfId="0" applyFont="1" applyFill="1" applyBorder="1" applyAlignment="1">
      <alignment horizontal="justify"/>
    </xf>
    <xf numFmtId="0" fontId="5" fillId="4" borderId="5" xfId="0" applyFont="1" applyFill="1" applyBorder="1" applyAlignment="1"/>
    <xf numFmtId="0" fontId="3" fillId="2" borderId="4" xfId="0" applyFont="1" applyFill="1" applyBorder="1" applyAlignment="1">
      <alignment horizontal="right" vertical="top" wrapText="1"/>
    </xf>
    <xf numFmtId="3" fontId="2" fillId="7" borderId="6" xfId="0" applyNumberFormat="1" applyFont="1" applyFill="1" applyBorder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3" fontId="3" fillId="7" borderId="0" xfId="0" applyNumberFormat="1" applyFont="1" applyFill="1" applyBorder="1" applyAlignment="1">
      <alignment horizontal="right" vertical="top"/>
    </xf>
    <xf numFmtId="43" fontId="0" fillId="0" borderId="0" xfId="1" applyFont="1" applyAlignment="1">
      <alignment vertical="top"/>
    </xf>
    <xf numFmtId="3" fontId="2" fillId="7" borderId="12" xfId="0" applyNumberFormat="1" applyFont="1" applyFill="1" applyBorder="1" applyAlignment="1">
      <alignment horizontal="right" vertical="top"/>
    </xf>
    <xf numFmtId="43" fontId="6" fillId="0" borderId="15" xfId="1" applyFont="1" applyBorder="1"/>
    <xf numFmtId="167" fontId="6" fillId="0" borderId="17" xfId="1" applyNumberFormat="1" applyFont="1" applyBorder="1"/>
    <xf numFmtId="0" fontId="6" fillId="0" borderId="16" xfId="0" applyFont="1" applyBorder="1"/>
    <xf numFmtId="43" fontId="12" fillId="0" borderId="21" xfId="1" applyFont="1" applyBorder="1"/>
    <xf numFmtId="43" fontId="6" fillId="0" borderId="0" xfId="1" applyFont="1" applyBorder="1"/>
    <xf numFmtId="0" fontId="6" fillId="0" borderId="4" xfId="0" applyFont="1" applyBorder="1"/>
    <xf numFmtId="43" fontId="6" fillId="0" borderId="21" xfId="1" applyFont="1" applyBorder="1"/>
    <xf numFmtId="43" fontId="6" fillId="0" borderId="0" xfId="0" applyNumberFormat="1" applyFont="1" applyBorder="1"/>
    <xf numFmtId="43" fontId="6" fillId="0" borderId="18" xfId="1" applyFont="1" applyBorder="1"/>
    <xf numFmtId="0" fontId="6" fillId="0" borderId="19" xfId="0" applyFont="1" applyBorder="1"/>
    <xf numFmtId="0" fontId="6" fillId="0" borderId="3" xfId="0" applyFont="1" applyBorder="1"/>
    <xf numFmtId="166" fontId="0" fillId="9" borderId="0" xfId="0" applyNumberFormat="1" applyFill="1"/>
    <xf numFmtId="166" fontId="0" fillId="9" borderId="0" xfId="1" applyNumberFormat="1" applyFont="1" applyFill="1"/>
    <xf numFmtId="0" fontId="11" fillId="0" borderId="15" xfId="0" applyFont="1" applyBorder="1"/>
    <xf numFmtId="164" fontId="11" fillId="0" borderId="22" xfId="0" applyNumberFormat="1" applyFont="1" applyBorder="1"/>
    <xf numFmtId="164" fontId="11" fillId="7" borderId="22" xfId="0" applyNumberFormat="1" applyFont="1" applyFill="1" applyBorder="1"/>
    <xf numFmtId="0" fontId="11" fillId="0" borderId="21" xfId="0" applyFont="1" applyBorder="1"/>
    <xf numFmtId="2" fontId="11" fillId="0" borderId="0" xfId="0" applyNumberFormat="1" applyFont="1" applyBorder="1"/>
    <xf numFmtId="2" fontId="11" fillId="0" borderId="0" xfId="0" applyNumberFormat="1" applyFont="1" applyBorder="1" applyAlignment="1">
      <alignment horizontal="right" vertical="top"/>
    </xf>
    <xf numFmtId="43" fontId="11" fillId="0" borderId="0" xfId="1" applyFont="1" applyBorder="1" applyAlignment="1">
      <alignment horizontal="right" vertical="top"/>
    </xf>
    <xf numFmtId="43" fontId="11" fillId="0" borderId="0" xfId="1" applyFont="1" applyBorder="1" applyAlignment="1">
      <alignment vertical="top"/>
    </xf>
    <xf numFmtId="0" fontId="11" fillId="0" borderId="18" xfId="0" applyFont="1" applyBorder="1"/>
    <xf numFmtId="43" fontId="11" fillId="0" borderId="19" xfId="1" applyFont="1" applyBorder="1"/>
    <xf numFmtId="0" fontId="11" fillId="0" borderId="0" xfId="0" applyFont="1"/>
    <xf numFmtId="4" fontId="11" fillId="0" borderId="0" xfId="0" applyNumberFormat="1" applyFont="1"/>
    <xf numFmtId="43" fontId="11" fillId="0" borderId="19" xfId="0" applyNumberFormat="1" applyFont="1" applyBorder="1"/>
    <xf numFmtId="43" fontId="0" fillId="0" borderId="0" xfId="0" applyNumberFormat="1" applyAlignment="1">
      <alignment horizontal="left"/>
    </xf>
    <xf numFmtId="43" fontId="8" fillId="0" borderId="0" xfId="1" applyFont="1"/>
    <xf numFmtId="43" fontId="9" fillId="0" borderId="0" xfId="1" applyFont="1"/>
    <xf numFmtId="43" fontId="0" fillId="5" borderId="1" xfId="1" applyFont="1" applyFill="1" applyBorder="1"/>
    <xf numFmtId="43" fontId="0" fillId="5" borderId="2" xfId="1" applyFont="1" applyFill="1" applyBorder="1"/>
    <xf numFmtId="169" fontId="0" fillId="0" borderId="0" xfId="1" applyNumberFormat="1" applyFont="1"/>
    <xf numFmtId="164" fontId="0" fillId="7" borderId="2" xfId="0" applyNumberFormat="1" applyFill="1" applyBorder="1"/>
    <xf numFmtId="0" fontId="0" fillId="0" borderId="1" xfId="0" applyBorder="1"/>
    <xf numFmtId="43" fontId="8" fillId="10" borderId="1" xfId="1" applyFont="1" applyFill="1" applyBorder="1"/>
    <xf numFmtId="43" fontId="8" fillId="10" borderId="1" xfId="0" applyNumberFormat="1" applyFont="1" applyFill="1" applyBorder="1"/>
    <xf numFmtId="4" fontId="0" fillId="11" borderId="1" xfId="0" applyNumberFormat="1" applyFill="1" applyBorder="1"/>
    <xf numFmtId="165" fontId="0" fillId="11" borderId="1" xfId="0" applyNumberFormat="1" applyFill="1" applyBorder="1"/>
    <xf numFmtId="41" fontId="0" fillId="5" borderId="1" xfId="1" applyNumberFormat="1" applyFont="1" applyFill="1" applyBorder="1"/>
    <xf numFmtId="164" fontId="0" fillId="7" borderId="0" xfId="0" applyNumberFormat="1" applyFill="1"/>
    <xf numFmtId="164" fontId="11" fillId="7" borderId="0" xfId="0" applyNumberFormat="1" applyFont="1" applyFill="1" applyBorder="1"/>
    <xf numFmtId="43" fontId="11" fillId="0" borderId="0" xfId="1" applyFont="1" applyBorder="1"/>
    <xf numFmtId="43" fontId="11" fillId="0" borderId="0" xfId="0" applyNumberFormat="1" applyFont="1" applyBorder="1"/>
    <xf numFmtId="164" fontId="0" fillId="7" borderId="23" xfId="0" applyNumberForma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C4747"/>
      <color rgb="FFE0E6ED"/>
      <color rgb="FFFFDE59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02"/>
  <sheetViews>
    <sheetView topLeftCell="D1" zoomScale="125" zoomScaleNormal="125" workbookViewId="0">
      <selection activeCell="D61" sqref="D61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9" width="18.42578125" customWidth="1"/>
    <col min="10" max="10" width="15.42578125" customWidth="1"/>
    <col min="11" max="11" width="0.5703125" hidden="1" customWidth="1"/>
    <col min="12" max="12" width="17.140625" hidden="1" customWidth="1"/>
    <col min="13" max="13" width="13.5703125" hidden="1" customWidth="1"/>
    <col min="14" max="14" width="17.7109375" hidden="1" customWidth="1"/>
    <col min="15" max="15" width="16.85546875" hidden="1" customWidth="1"/>
    <col min="16" max="16" width="17.42578125" hidden="1" customWidth="1"/>
    <col min="17" max="17" width="16.85546875" hidden="1" customWidth="1"/>
    <col min="18" max="18" width="20.140625" customWidth="1"/>
    <col min="19" max="19" width="6.28515625" customWidth="1"/>
    <col min="20" max="20" width="18" customWidth="1"/>
    <col min="21" max="21" width="16.85546875" bestFit="1" customWidth="1"/>
    <col min="22" max="22" width="17.28515625" bestFit="1" customWidth="1"/>
  </cols>
  <sheetData>
    <row r="1" spans="3:19" x14ac:dyDescent="0.25">
      <c r="F1" s="9"/>
    </row>
    <row r="2" spans="3:19" ht="21.75" customHeight="1" thickBot="1" x14ac:dyDescent="0.3">
      <c r="M2" s="10"/>
      <c r="N2" s="4"/>
      <c r="O2" s="10"/>
      <c r="P2" s="10"/>
      <c r="Q2" s="10"/>
      <c r="R2" s="10"/>
    </row>
    <row r="3" spans="3:19" ht="30" customHeight="1" thickBot="1" x14ac:dyDescent="0.3">
      <c r="C3" s="99" t="s">
        <v>64</v>
      </c>
      <c r="D3" s="100"/>
    </row>
    <row r="4" spans="3:19" ht="32.25" customHeight="1" thickBot="1" x14ac:dyDescent="0.3">
      <c r="C4" s="101" t="s">
        <v>0</v>
      </c>
      <c r="D4" s="102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50</v>
      </c>
      <c r="L4" s="36" t="s">
        <v>51</v>
      </c>
      <c r="M4" s="36" t="s">
        <v>52</v>
      </c>
      <c r="N4" s="25" t="s">
        <v>53</v>
      </c>
      <c r="O4" s="37" t="s">
        <v>67</v>
      </c>
      <c r="P4" s="37" t="s">
        <v>54</v>
      </c>
      <c r="Q4" s="37" t="s">
        <v>74</v>
      </c>
      <c r="R4" s="36" t="s">
        <v>55</v>
      </c>
    </row>
    <row r="5" spans="3:19" ht="16.5" customHeight="1" thickBot="1" x14ac:dyDescent="0.3">
      <c r="C5" s="38" t="s">
        <v>1</v>
      </c>
      <c r="D5" s="54">
        <f>+R5</f>
        <v>908189</v>
      </c>
      <c r="F5" s="26">
        <f>50299+8265+12530+119794</f>
        <v>190888</v>
      </c>
      <c r="G5" s="26">
        <f>135601+49106+6495+11257</f>
        <v>202459</v>
      </c>
      <c r="H5" s="26">
        <f>186470+71881</f>
        <v>258351</v>
      </c>
      <c r="I5" s="26">
        <f>70086+186405</f>
        <v>256491</v>
      </c>
      <c r="J5" s="26"/>
      <c r="K5" s="26"/>
      <c r="L5" s="26"/>
      <c r="M5" s="26"/>
      <c r="N5" s="26"/>
      <c r="O5" s="27"/>
      <c r="P5" s="27"/>
      <c r="Q5" s="27"/>
      <c r="R5" s="1">
        <f>SUM(F5:Q5)</f>
        <v>908189</v>
      </c>
    </row>
    <row r="6" spans="3:19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>
        <f t="shared" ref="H6:I6" si="0">SUM(H5)</f>
        <v>258351</v>
      </c>
      <c r="I6" s="29">
        <f t="shared" si="0"/>
        <v>256491</v>
      </c>
      <c r="J6" s="29"/>
      <c r="K6" s="29"/>
      <c r="L6" s="29"/>
      <c r="M6" s="29"/>
      <c r="N6" s="29"/>
      <c r="O6" s="29"/>
      <c r="P6" s="30"/>
      <c r="Q6" s="30"/>
      <c r="R6" s="15">
        <f>SUM(F6:Q6)</f>
        <v>908189</v>
      </c>
      <c r="S6" s="18"/>
    </row>
    <row r="7" spans="3:19" ht="16.5" customHeight="1" x14ac:dyDescent="0.25">
      <c r="C7" s="45" t="s">
        <v>3</v>
      </c>
      <c r="D7" s="49">
        <f>+R7</f>
        <v>1457952</v>
      </c>
      <c r="F7" s="1">
        <f>253120+2200+80683</f>
        <v>336003</v>
      </c>
      <c r="G7" s="1">
        <f>231610+1660+127010</f>
        <v>360280</v>
      </c>
      <c r="H7" s="1">
        <v>399486</v>
      </c>
      <c r="I7" s="1">
        <v>362183</v>
      </c>
      <c r="J7" s="1"/>
      <c r="K7" s="1"/>
      <c r="L7" s="1"/>
      <c r="M7" s="1"/>
      <c r="N7" s="1"/>
      <c r="O7" s="14"/>
      <c r="P7" s="1"/>
      <c r="Q7" s="1"/>
      <c r="R7" s="1">
        <f>SUM(F7:Q7)</f>
        <v>1457952</v>
      </c>
    </row>
    <row r="8" spans="3:19" ht="14.25" customHeight="1" x14ac:dyDescent="0.25">
      <c r="C8" s="46" t="s">
        <v>4</v>
      </c>
      <c r="D8" s="50">
        <f t="shared" ref="D8:D77" si="1">+R8</f>
        <v>205162</v>
      </c>
      <c r="F8" s="1">
        <f>5959+2115+22860</f>
        <v>30934</v>
      </c>
      <c r="G8" s="1">
        <f>5800+2405+42207</f>
        <v>50412</v>
      </c>
      <c r="H8" s="1">
        <v>77156</v>
      </c>
      <c r="I8" s="1">
        <v>46660</v>
      </c>
      <c r="J8" s="1"/>
      <c r="K8" s="1"/>
      <c r="L8" s="1"/>
      <c r="M8" s="1"/>
      <c r="N8" s="1"/>
      <c r="O8" s="14"/>
      <c r="P8" s="1"/>
      <c r="Q8" s="14"/>
      <c r="R8" s="1">
        <f t="shared" ref="R8:R72" si="2">SUM(F8:Q8)</f>
        <v>205162</v>
      </c>
    </row>
    <row r="9" spans="3:19" ht="15.75" customHeight="1" x14ac:dyDescent="0.25">
      <c r="C9" s="45" t="s">
        <v>5</v>
      </c>
      <c r="D9" s="49">
        <f t="shared" si="1"/>
        <v>307755</v>
      </c>
      <c r="F9" s="1">
        <f>7510+50489</f>
        <v>57999</v>
      </c>
      <c r="G9" s="1">
        <f>9570+68416</f>
        <v>77986</v>
      </c>
      <c r="H9" s="1">
        <v>90146</v>
      </c>
      <c r="I9" s="1">
        <v>81624</v>
      </c>
      <c r="J9" s="1"/>
      <c r="K9" s="1"/>
      <c r="L9" s="1"/>
      <c r="M9" s="1"/>
      <c r="N9" s="1"/>
      <c r="O9" s="14"/>
      <c r="P9" s="1"/>
      <c r="Q9" s="14"/>
      <c r="R9" s="1">
        <f t="shared" si="2"/>
        <v>307755</v>
      </c>
      <c r="S9" s="10"/>
    </row>
    <row r="10" spans="3:19" ht="13.5" customHeight="1" x14ac:dyDescent="0.25">
      <c r="C10" s="46" t="s">
        <v>6</v>
      </c>
      <c r="D10" s="50">
        <f t="shared" si="1"/>
        <v>244989</v>
      </c>
      <c r="F10" s="1">
        <f>3829+37646</f>
        <v>41475</v>
      </c>
      <c r="G10" s="1">
        <f>4440+60562</f>
        <v>65002</v>
      </c>
      <c r="H10" s="1">
        <v>79507</v>
      </c>
      <c r="I10" s="1">
        <v>59005</v>
      </c>
      <c r="J10" s="1"/>
      <c r="K10" s="1"/>
      <c r="L10" s="1"/>
      <c r="M10" s="1"/>
      <c r="N10" s="1"/>
      <c r="O10" s="14"/>
      <c r="P10" s="1"/>
      <c r="Q10" s="14"/>
      <c r="R10" s="1">
        <f t="shared" si="2"/>
        <v>244989</v>
      </c>
    </row>
    <row r="11" spans="3:19" ht="15" customHeight="1" x14ac:dyDescent="0.25">
      <c r="C11" s="45" t="s">
        <v>7</v>
      </c>
      <c r="D11" s="49">
        <f t="shared" si="1"/>
        <v>271670</v>
      </c>
      <c r="F11" s="1">
        <f>459+45419</f>
        <v>45878</v>
      </c>
      <c r="G11" s="1">
        <f>598+71779</f>
        <v>72377</v>
      </c>
      <c r="H11" s="1">
        <v>88995</v>
      </c>
      <c r="I11" s="1">
        <v>64420</v>
      </c>
      <c r="J11" s="1"/>
      <c r="K11" s="1"/>
      <c r="L11" s="1"/>
      <c r="M11" s="1"/>
      <c r="N11" s="1"/>
      <c r="O11" s="14"/>
      <c r="P11" s="1"/>
      <c r="Q11" s="14"/>
      <c r="R11" s="1">
        <f t="shared" si="2"/>
        <v>271670</v>
      </c>
    </row>
    <row r="12" spans="3:19" ht="15" customHeight="1" x14ac:dyDescent="0.25">
      <c r="C12" s="46" t="s">
        <v>8</v>
      </c>
      <c r="D12" s="50">
        <f t="shared" si="1"/>
        <v>300258</v>
      </c>
      <c r="F12" s="1">
        <f>450+643+51175</f>
        <v>52268</v>
      </c>
      <c r="G12" s="1">
        <f>2410+807+74681</f>
        <v>77898</v>
      </c>
      <c r="H12" s="1">
        <v>94725</v>
      </c>
      <c r="I12" s="1">
        <v>75367</v>
      </c>
      <c r="J12" s="1"/>
      <c r="K12" s="1"/>
      <c r="L12" s="1"/>
      <c r="M12" s="1"/>
      <c r="N12" s="1"/>
      <c r="O12" s="14"/>
      <c r="P12" s="1"/>
      <c r="Q12" s="14"/>
      <c r="R12" s="1">
        <f t="shared" si="2"/>
        <v>300258</v>
      </c>
    </row>
    <row r="13" spans="3:19" ht="16.5" customHeight="1" x14ac:dyDescent="0.25">
      <c r="C13" s="45" t="s">
        <v>9</v>
      </c>
      <c r="D13" s="49">
        <f t="shared" si="1"/>
        <v>219282</v>
      </c>
      <c r="F13" s="1">
        <f>806+37863+3000</f>
        <v>41669</v>
      </c>
      <c r="G13" s="1">
        <f>1018+57095</f>
        <v>58113</v>
      </c>
      <c r="H13" s="1">
        <v>68840</v>
      </c>
      <c r="I13" s="1">
        <v>50660</v>
      </c>
      <c r="J13" s="1"/>
      <c r="K13" s="1"/>
      <c r="L13" s="1"/>
      <c r="M13" s="1"/>
      <c r="N13" s="1"/>
      <c r="O13" s="14"/>
      <c r="P13" s="1"/>
      <c r="Q13" s="14"/>
      <c r="R13" s="1">
        <f t="shared" si="2"/>
        <v>219282</v>
      </c>
    </row>
    <row r="14" spans="3:19" ht="13.5" customHeight="1" x14ac:dyDescent="0.25">
      <c r="C14" s="46" t="s">
        <v>10</v>
      </c>
      <c r="D14" s="50">
        <f t="shared" si="1"/>
        <v>187096</v>
      </c>
      <c r="F14" s="1">
        <f>2970+641+27219</f>
        <v>30830</v>
      </c>
      <c r="G14" s="1">
        <f>3696+902+46104</f>
        <v>50702</v>
      </c>
      <c r="H14" s="1">
        <v>61578</v>
      </c>
      <c r="I14" s="1">
        <v>43986</v>
      </c>
      <c r="J14" s="1"/>
      <c r="K14" s="1"/>
      <c r="L14" s="1"/>
      <c r="M14" s="1"/>
      <c r="N14" s="1"/>
      <c r="O14" s="14"/>
      <c r="P14" s="1"/>
      <c r="Q14" s="14"/>
      <c r="R14" s="1">
        <f t="shared" si="2"/>
        <v>187096</v>
      </c>
    </row>
    <row r="15" spans="3:19" ht="16.5" customHeight="1" x14ac:dyDescent="0.25">
      <c r="C15" s="45" t="s">
        <v>96</v>
      </c>
      <c r="D15" s="49">
        <f>+R15</f>
        <v>54011</v>
      </c>
      <c r="F15" s="1"/>
      <c r="G15" s="1">
        <f>10+1115</f>
        <v>1125</v>
      </c>
      <c r="H15" s="1">
        <v>32951</v>
      </c>
      <c r="I15" s="1">
        <v>19935</v>
      </c>
      <c r="J15" s="1"/>
      <c r="K15" s="1"/>
      <c r="L15" s="1"/>
      <c r="M15" s="1"/>
      <c r="N15" s="1"/>
      <c r="O15" s="87"/>
      <c r="P15" s="2"/>
      <c r="Q15" s="87"/>
      <c r="R15" s="1">
        <f t="shared" si="2"/>
        <v>54011</v>
      </c>
    </row>
    <row r="16" spans="3:19" ht="14.25" customHeight="1" x14ac:dyDescent="0.25">
      <c r="C16" s="40" t="s">
        <v>66</v>
      </c>
      <c r="D16" s="49">
        <f t="shared" si="1"/>
        <v>82074</v>
      </c>
      <c r="F16" s="1">
        <f>209+11552+380+3379</f>
        <v>15520</v>
      </c>
      <c r="G16" s="1">
        <f>223+15056+486+4613</f>
        <v>20378</v>
      </c>
      <c r="H16" s="1">
        <v>24826</v>
      </c>
      <c r="I16" s="1">
        <v>21350</v>
      </c>
      <c r="J16" s="1"/>
      <c r="K16" s="1"/>
      <c r="L16" s="1"/>
      <c r="M16" s="1"/>
      <c r="N16" s="1"/>
      <c r="O16" s="14"/>
      <c r="P16" s="1"/>
      <c r="Q16" s="14"/>
      <c r="R16" s="1">
        <f t="shared" si="2"/>
        <v>82074</v>
      </c>
    </row>
    <row r="17" spans="3:19" x14ac:dyDescent="0.25">
      <c r="C17" s="46" t="s">
        <v>89</v>
      </c>
      <c r="D17" s="50">
        <f t="shared" si="1"/>
        <v>391471</v>
      </c>
      <c r="F17" s="1"/>
      <c r="G17" s="1">
        <f>6770+86772+25621</f>
        <v>119163</v>
      </c>
      <c r="H17" s="1">
        <v>167444</v>
      </c>
      <c r="I17" s="1">
        <v>104864</v>
      </c>
      <c r="J17" s="1"/>
      <c r="K17" s="1"/>
      <c r="L17" s="1"/>
      <c r="M17" s="1"/>
      <c r="N17" s="1"/>
      <c r="O17" s="14"/>
      <c r="P17" s="1"/>
      <c r="Q17" s="14"/>
      <c r="R17" s="1">
        <f t="shared" si="2"/>
        <v>391471</v>
      </c>
    </row>
    <row r="18" spans="3:19" x14ac:dyDescent="0.25">
      <c r="C18" s="45" t="s">
        <v>13</v>
      </c>
      <c r="D18" s="49">
        <f t="shared" si="1"/>
        <v>60567</v>
      </c>
      <c r="F18" s="1">
        <f>448+8715</f>
        <v>9163</v>
      </c>
      <c r="G18" s="1">
        <f>560+16225</f>
        <v>16785</v>
      </c>
      <c r="H18" s="1">
        <v>19110</v>
      </c>
      <c r="I18" s="1">
        <v>15509</v>
      </c>
      <c r="J18" s="1"/>
      <c r="K18" s="1"/>
      <c r="L18" s="1"/>
      <c r="M18" s="1"/>
      <c r="N18" s="1"/>
      <c r="O18" s="14"/>
      <c r="P18" s="1"/>
      <c r="Q18" s="14"/>
      <c r="R18" s="1">
        <f t="shared" si="2"/>
        <v>60567</v>
      </c>
    </row>
    <row r="19" spans="3:19" ht="16.5" customHeight="1" x14ac:dyDescent="0.25">
      <c r="C19" s="46" t="s">
        <v>11</v>
      </c>
      <c r="D19" s="50">
        <f t="shared" si="1"/>
        <v>67373</v>
      </c>
      <c r="F19" s="1">
        <f>330+12194</f>
        <v>12524</v>
      </c>
      <c r="G19" s="1">
        <f>418+15942</f>
        <v>16360</v>
      </c>
      <c r="H19" s="1">
        <v>21327</v>
      </c>
      <c r="I19" s="1">
        <v>17162</v>
      </c>
      <c r="J19" s="1"/>
      <c r="K19" s="1"/>
      <c r="L19" s="1"/>
      <c r="M19" s="1"/>
      <c r="N19" s="1"/>
      <c r="O19" s="14"/>
      <c r="P19" s="1"/>
      <c r="Q19" s="14"/>
      <c r="R19" s="1">
        <f t="shared" si="2"/>
        <v>67373</v>
      </c>
    </row>
    <row r="20" spans="3:19" x14ac:dyDescent="0.25">
      <c r="C20" s="45" t="s">
        <v>12</v>
      </c>
      <c r="D20" s="49">
        <f t="shared" si="1"/>
        <v>69979</v>
      </c>
      <c r="F20" s="1">
        <f>249+13251</f>
        <v>13500</v>
      </c>
      <c r="G20" s="1">
        <f>319+18324</f>
        <v>18643</v>
      </c>
      <c r="H20" s="1">
        <v>21804</v>
      </c>
      <c r="I20" s="1">
        <v>16032</v>
      </c>
      <c r="J20" s="1"/>
      <c r="K20" s="1"/>
      <c r="L20" s="1"/>
      <c r="M20" s="1"/>
      <c r="N20" s="1"/>
      <c r="O20" s="14"/>
      <c r="P20" s="1"/>
      <c r="Q20" s="14"/>
      <c r="R20" s="1">
        <f t="shared" si="2"/>
        <v>69979</v>
      </c>
    </row>
    <row r="21" spans="3:19" x14ac:dyDescent="0.25">
      <c r="C21" s="46" t="s">
        <v>14</v>
      </c>
      <c r="D21" s="50">
        <f t="shared" si="1"/>
        <v>42092</v>
      </c>
      <c r="F21" s="1">
        <f>259+6110</f>
        <v>6369</v>
      </c>
      <c r="G21" s="1">
        <f>298+11395</f>
        <v>11693</v>
      </c>
      <c r="H21" s="1">
        <v>12889</v>
      </c>
      <c r="I21" s="1">
        <v>11141</v>
      </c>
      <c r="J21" s="1"/>
      <c r="K21" s="1"/>
      <c r="L21" s="1"/>
      <c r="M21" s="1"/>
      <c r="N21" s="1"/>
      <c r="O21" s="14"/>
      <c r="P21" s="1"/>
      <c r="Q21" s="14"/>
      <c r="R21" s="1">
        <f t="shared" si="2"/>
        <v>42092</v>
      </c>
    </row>
    <row r="22" spans="3:19" x14ac:dyDescent="0.25">
      <c r="C22" s="45" t="s">
        <v>17</v>
      </c>
      <c r="D22" s="49">
        <f t="shared" si="1"/>
        <v>57141</v>
      </c>
      <c r="F22" s="1">
        <f>212+8861+50</f>
        <v>9123</v>
      </c>
      <c r="G22" s="1">
        <f>252+12429</f>
        <v>12681</v>
      </c>
      <c r="H22" s="1">
        <v>18392</v>
      </c>
      <c r="I22" s="1">
        <v>16945</v>
      </c>
      <c r="J22" s="1"/>
      <c r="K22" s="1"/>
      <c r="L22" s="1"/>
      <c r="M22" s="14"/>
      <c r="N22" s="1"/>
      <c r="O22" s="14"/>
      <c r="P22" s="1"/>
      <c r="Q22" s="14"/>
      <c r="R22" s="1">
        <f t="shared" si="2"/>
        <v>57141</v>
      </c>
    </row>
    <row r="23" spans="3:19" ht="13.5" customHeight="1" x14ac:dyDescent="0.25">
      <c r="C23" s="46" t="s">
        <v>63</v>
      </c>
      <c r="D23" s="50">
        <f t="shared" si="1"/>
        <v>125698</v>
      </c>
      <c r="F23" s="1">
        <f>180+23767</f>
        <v>23947</v>
      </c>
      <c r="G23" s="1">
        <f>228+33272</f>
        <v>33500</v>
      </c>
      <c r="H23" s="1">
        <v>38867</v>
      </c>
      <c r="I23" s="1">
        <v>29384</v>
      </c>
      <c r="J23" s="1"/>
      <c r="K23" s="1"/>
      <c r="L23" s="1"/>
      <c r="M23" s="14"/>
      <c r="N23" s="1"/>
      <c r="O23" s="14"/>
      <c r="P23" s="1"/>
      <c r="Q23" s="14"/>
      <c r="R23" s="1">
        <f t="shared" si="2"/>
        <v>125698</v>
      </c>
    </row>
    <row r="24" spans="3:19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"/>
      <c r="M24" s="14"/>
      <c r="N24" s="1"/>
      <c r="O24" s="14"/>
      <c r="P24" s="1"/>
      <c r="Q24" s="14"/>
      <c r="R24" s="1">
        <f t="shared" si="2"/>
        <v>0</v>
      </c>
    </row>
    <row r="25" spans="3:19" ht="14.25" customHeight="1" x14ac:dyDescent="0.25">
      <c r="C25" s="46" t="s">
        <v>15</v>
      </c>
      <c r="D25" s="50">
        <f t="shared" si="1"/>
        <v>81867</v>
      </c>
      <c r="F25" s="1">
        <f>220+14392</f>
        <v>14612</v>
      </c>
      <c r="G25" s="1">
        <f>256+19444</f>
        <v>19700</v>
      </c>
      <c r="H25" s="1">
        <v>25543</v>
      </c>
      <c r="I25" s="1">
        <v>22012</v>
      </c>
      <c r="J25" s="1"/>
      <c r="K25" s="1"/>
      <c r="L25" s="1"/>
      <c r="M25" s="1"/>
      <c r="N25" s="1"/>
      <c r="O25" s="14"/>
      <c r="P25" s="1"/>
      <c r="Q25" s="14"/>
      <c r="R25" s="1">
        <f t="shared" si="2"/>
        <v>81867</v>
      </c>
    </row>
    <row r="26" spans="3:19" ht="13.5" customHeight="1" x14ac:dyDescent="0.25">
      <c r="C26" s="45" t="s">
        <v>16</v>
      </c>
      <c r="D26" s="49">
        <f t="shared" si="1"/>
        <v>89527</v>
      </c>
      <c r="F26" s="1">
        <f>490+14849+500</f>
        <v>15839</v>
      </c>
      <c r="G26" s="1">
        <f>580+23004</f>
        <v>23584</v>
      </c>
      <c r="H26" s="1">
        <v>26852</v>
      </c>
      <c r="I26" s="1">
        <v>23252</v>
      </c>
      <c r="J26" s="1"/>
      <c r="K26" s="1"/>
      <c r="L26" s="1"/>
      <c r="M26" s="1"/>
      <c r="N26" s="1"/>
      <c r="O26" s="14"/>
      <c r="P26" s="1"/>
      <c r="Q26" s="14"/>
      <c r="R26" s="1">
        <f t="shared" si="2"/>
        <v>89527</v>
      </c>
    </row>
    <row r="27" spans="3:19" x14ac:dyDescent="0.25">
      <c r="C27" s="46" t="s">
        <v>18</v>
      </c>
      <c r="D27" s="50">
        <f t="shared" si="1"/>
        <v>178070</v>
      </c>
      <c r="F27" s="1">
        <f>262+27585</f>
        <v>27847</v>
      </c>
      <c r="G27" s="1">
        <f>330+45137</f>
        <v>45467</v>
      </c>
      <c r="H27" s="1">
        <v>61089</v>
      </c>
      <c r="I27" s="1">
        <v>43667</v>
      </c>
      <c r="J27" s="1"/>
      <c r="K27" s="1"/>
      <c r="L27" s="1"/>
      <c r="M27" s="1"/>
      <c r="N27" s="1"/>
      <c r="O27" s="14"/>
      <c r="P27" s="1"/>
      <c r="Q27" s="14"/>
      <c r="R27" s="1">
        <f t="shared" si="2"/>
        <v>178070</v>
      </c>
    </row>
    <row r="28" spans="3:19" ht="13.5" customHeight="1" x14ac:dyDescent="0.25">
      <c r="C28" s="45" t="s">
        <v>85</v>
      </c>
      <c r="D28" s="49">
        <f>+R28</f>
        <v>73815</v>
      </c>
      <c r="F28" s="1">
        <f>390+12975</f>
        <v>13365</v>
      </c>
      <c r="G28" s="1">
        <f>494+15796</f>
        <v>16290</v>
      </c>
      <c r="H28" s="1">
        <v>23932</v>
      </c>
      <c r="I28" s="1">
        <v>20228</v>
      </c>
      <c r="J28" s="1"/>
      <c r="K28" s="1"/>
      <c r="L28" s="1"/>
      <c r="M28" s="1"/>
      <c r="N28" s="1"/>
      <c r="O28" s="14"/>
      <c r="P28" s="1"/>
      <c r="Q28" s="14"/>
      <c r="R28" s="1">
        <f t="shared" si="2"/>
        <v>73815</v>
      </c>
    </row>
    <row r="29" spans="3:19" ht="15" customHeight="1" x14ac:dyDescent="0.25">
      <c r="C29" s="45" t="s">
        <v>95</v>
      </c>
      <c r="D29" s="49">
        <f t="shared" ref="D29" si="3">+R29</f>
        <v>28076</v>
      </c>
      <c r="F29" s="1"/>
      <c r="G29" s="1">
        <f>84+2575</f>
        <v>2659</v>
      </c>
      <c r="H29" s="1">
        <v>13982</v>
      </c>
      <c r="I29" s="1">
        <v>11435</v>
      </c>
      <c r="J29" s="1"/>
      <c r="K29" s="1"/>
      <c r="L29" s="1"/>
      <c r="M29" s="1"/>
      <c r="N29" s="1"/>
      <c r="O29" s="87"/>
      <c r="P29" s="2"/>
      <c r="Q29" s="87"/>
      <c r="R29" s="1">
        <f t="shared" si="2"/>
        <v>28076</v>
      </c>
    </row>
    <row r="30" spans="3:19" ht="15" customHeight="1" x14ac:dyDescent="0.25">
      <c r="C30" s="46" t="s">
        <v>19</v>
      </c>
      <c r="D30" s="50">
        <f t="shared" si="1"/>
        <v>126610</v>
      </c>
      <c r="F30" s="1">
        <f>2900+233+21085</f>
        <v>24218</v>
      </c>
      <c r="G30" s="1">
        <f>3300+311+28533</f>
        <v>32144</v>
      </c>
      <c r="H30" s="1">
        <v>39220</v>
      </c>
      <c r="I30" s="1">
        <v>31028</v>
      </c>
      <c r="J30" s="1"/>
      <c r="K30" s="1"/>
      <c r="L30" s="1"/>
      <c r="M30" s="1"/>
      <c r="N30" s="1"/>
      <c r="O30" s="14"/>
      <c r="P30" s="1"/>
      <c r="Q30" s="14"/>
      <c r="R30" s="1">
        <f t="shared" si="2"/>
        <v>126610</v>
      </c>
    </row>
    <row r="31" spans="3:19" x14ac:dyDescent="0.25">
      <c r="C31" s="45" t="s">
        <v>20</v>
      </c>
      <c r="D31" s="49">
        <f t="shared" si="1"/>
        <v>114514</v>
      </c>
      <c r="F31" s="1">
        <f>645+360+20335</f>
        <v>21340</v>
      </c>
      <c r="G31" s="1">
        <f>817+418+27949</f>
        <v>29184</v>
      </c>
      <c r="H31" s="1">
        <v>35847</v>
      </c>
      <c r="I31" s="1">
        <v>28143</v>
      </c>
      <c r="J31" s="1"/>
      <c r="K31" s="1"/>
      <c r="L31" s="1"/>
      <c r="M31" s="1"/>
      <c r="N31" s="1"/>
      <c r="O31" s="14"/>
      <c r="P31" s="1"/>
      <c r="Q31" s="14"/>
      <c r="R31" s="1">
        <f t="shared" si="2"/>
        <v>114514</v>
      </c>
      <c r="S31" s="4"/>
    </row>
    <row r="32" spans="3:19" x14ac:dyDescent="0.25">
      <c r="C32" s="45" t="s">
        <v>94</v>
      </c>
      <c r="D32" s="49">
        <f>+R32</f>
        <v>18038</v>
      </c>
      <c r="F32" s="1"/>
      <c r="G32" s="1">
        <f>76+1943</f>
        <v>2019</v>
      </c>
      <c r="H32" s="1">
        <v>9283</v>
      </c>
      <c r="I32" s="1">
        <v>6736</v>
      </c>
      <c r="J32" s="1"/>
      <c r="K32" s="1"/>
      <c r="L32" s="1"/>
      <c r="M32" s="1"/>
      <c r="N32" s="1"/>
      <c r="O32" s="87"/>
      <c r="P32" s="2"/>
      <c r="Q32" s="87"/>
      <c r="R32" s="1">
        <f t="shared" si="2"/>
        <v>18038</v>
      </c>
      <c r="S32" s="4"/>
    </row>
    <row r="33" spans="3:18" x14ac:dyDescent="0.25">
      <c r="C33" s="46" t="s">
        <v>71</v>
      </c>
      <c r="D33" s="50">
        <f t="shared" si="1"/>
        <v>118745</v>
      </c>
      <c r="F33" s="1">
        <f>261+21359+2728</f>
        <v>24348</v>
      </c>
      <c r="G33" s="1">
        <f>397+28500</f>
        <v>28897</v>
      </c>
      <c r="H33" s="1">
        <v>35300</v>
      </c>
      <c r="I33" s="1">
        <v>30200</v>
      </c>
      <c r="J33" s="1"/>
      <c r="K33" s="1"/>
      <c r="L33" s="1"/>
      <c r="M33" s="1"/>
      <c r="N33" s="1"/>
      <c r="O33" s="14"/>
      <c r="P33" s="1"/>
      <c r="Q33" s="14"/>
      <c r="R33" s="1">
        <f t="shared" si="2"/>
        <v>118745</v>
      </c>
    </row>
    <row r="34" spans="3:18" x14ac:dyDescent="0.25">
      <c r="C34" s="46" t="s">
        <v>100</v>
      </c>
      <c r="D34" s="50">
        <f t="shared" si="1"/>
        <v>4323</v>
      </c>
      <c r="F34" s="1"/>
      <c r="G34" s="1"/>
      <c r="H34" s="1"/>
      <c r="I34" s="1">
        <v>4323</v>
      </c>
      <c r="J34" s="1"/>
      <c r="K34" s="1"/>
      <c r="L34" s="1"/>
      <c r="M34" s="1"/>
      <c r="N34" s="1"/>
      <c r="O34" s="14"/>
      <c r="P34" s="1"/>
      <c r="Q34" s="14"/>
      <c r="R34" s="1">
        <f t="shared" si="2"/>
        <v>4323</v>
      </c>
    </row>
    <row r="35" spans="3:18" x14ac:dyDescent="0.25">
      <c r="C35" s="45" t="s">
        <v>21</v>
      </c>
      <c r="D35" s="49">
        <f t="shared" si="1"/>
        <v>196305</v>
      </c>
      <c r="F35" s="1">
        <f>1545+27595</f>
        <v>29140</v>
      </c>
      <c r="G35" s="1">
        <f>2240+44245</f>
        <v>46485</v>
      </c>
      <c r="H35" s="1">
        <v>64683</v>
      </c>
      <c r="I35" s="1">
        <v>55997</v>
      </c>
      <c r="J35" s="1"/>
      <c r="K35" s="1"/>
      <c r="L35" s="1"/>
      <c r="M35" s="1"/>
      <c r="N35" s="1"/>
      <c r="O35" s="14"/>
      <c r="P35" s="1"/>
      <c r="Q35" s="14"/>
      <c r="R35" s="1">
        <f t="shared" si="2"/>
        <v>196305</v>
      </c>
    </row>
    <row r="36" spans="3:18" x14ac:dyDescent="0.25">
      <c r="C36" s="46" t="s">
        <v>72</v>
      </c>
      <c r="D36" s="50">
        <f t="shared" si="1"/>
        <v>23008</v>
      </c>
      <c r="F36" s="1"/>
      <c r="G36" s="1">
        <f>428+5380</f>
        <v>5808</v>
      </c>
      <c r="H36" s="1">
        <v>10380</v>
      </c>
      <c r="I36" s="1">
        <v>6820</v>
      </c>
      <c r="J36" s="1"/>
      <c r="K36" s="1"/>
      <c r="L36" s="1"/>
      <c r="M36" s="1"/>
      <c r="N36" s="1"/>
      <c r="O36" s="14"/>
      <c r="P36" s="12"/>
      <c r="Q36" s="14"/>
      <c r="R36" s="1">
        <f t="shared" si="2"/>
        <v>23008</v>
      </c>
    </row>
    <row r="37" spans="3:18" x14ac:dyDescent="0.25">
      <c r="C37" s="45" t="s">
        <v>59</v>
      </c>
      <c r="D37" s="49">
        <f t="shared" si="1"/>
        <v>81357</v>
      </c>
      <c r="F37" s="1">
        <f>228+13895</f>
        <v>14123</v>
      </c>
      <c r="G37" s="1">
        <f>318+19651</f>
        <v>19969</v>
      </c>
      <c r="H37" s="1">
        <v>23965</v>
      </c>
      <c r="I37" s="1">
        <v>23300</v>
      </c>
      <c r="J37" s="1"/>
      <c r="K37" s="1"/>
      <c r="L37" s="1"/>
      <c r="M37" s="14"/>
      <c r="N37" s="1"/>
      <c r="O37" s="14"/>
      <c r="P37" s="1"/>
      <c r="Q37" s="14"/>
      <c r="R37" s="1">
        <f t="shared" si="2"/>
        <v>81357</v>
      </c>
    </row>
    <row r="38" spans="3:18" x14ac:dyDescent="0.25">
      <c r="C38" s="46" t="s">
        <v>61</v>
      </c>
      <c r="D38" s="50">
        <f t="shared" si="1"/>
        <v>57995</v>
      </c>
      <c r="F38" s="1">
        <f>375+10011</f>
        <v>10386</v>
      </c>
      <c r="G38" s="1">
        <f>485+13130</f>
        <v>13615</v>
      </c>
      <c r="H38" s="1">
        <v>17326</v>
      </c>
      <c r="I38" s="1">
        <v>16668</v>
      </c>
      <c r="J38" s="1"/>
      <c r="K38" s="1"/>
      <c r="L38" s="1"/>
      <c r="M38" s="1"/>
      <c r="N38" s="1"/>
      <c r="O38" s="14"/>
      <c r="P38" s="1"/>
      <c r="Q38" s="14"/>
      <c r="R38" s="1">
        <f t="shared" si="2"/>
        <v>57995</v>
      </c>
    </row>
    <row r="39" spans="3:18" x14ac:dyDescent="0.25">
      <c r="C39" s="46" t="s">
        <v>98</v>
      </c>
      <c r="D39" s="50">
        <f t="shared" si="1"/>
        <v>10620</v>
      </c>
      <c r="F39" s="1"/>
      <c r="G39" s="1"/>
      <c r="H39" s="1">
        <v>4130</v>
      </c>
      <c r="I39" s="1">
        <v>6490</v>
      </c>
      <c r="J39" s="1"/>
      <c r="K39" s="1"/>
      <c r="L39" s="1"/>
      <c r="M39" s="1"/>
      <c r="N39" s="1"/>
      <c r="O39" s="14"/>
      <c r="P39" s="1"/>
      <c r="Q39" s="14"/>
      <c r="R39" s="1">
        <f t="shared" si="2"/>
        <v>10620</v>
      </c>
    </row>
    <row r="40" spans="3:18" x14ac:dyDescent="0.25">
      <c r="C40" s="45" t="s">
        <v>43</v>
      </c>
      <c r="D40" s="49">
        <f t="shared" si="1"/>
        <v>88121</v>
      </c>
      <c r="F40" s="1">
        <f>270+15605</f>
        <v>15875</v>
      </c>
      <c r="G40" s="1">
        <f>414+22593</f>
        <v>23007</v>
      </c>
      <c r="H40" s="1">
        <v>27512</v>
      </c>
      <c r="I40" s="1">
        <v>21727</v>
      </c>
      <c r="J40" s="1"/>
      <c r="K40" s="1"/>
      <c r="L40" s="1"/>
      <c r="M40" s="1"/>
      <c r="N40" s="1"/>
      <c r="O40" s="14"/>
      <c r="P40" s="1"/>
      <c r="Q40" s="14"/>
      <c r="R40" s="1">
        <f t="shared" si="2"/>
        <v>88121</v>
      </c>
    </row>
    <row r="41" spans="3:18" x14ac:dyDescent="0.25">
      <c r="C41" s="45" t="s">
        <v>86</v>
      </c>
      <c r="D41" s="49">
        <f t="shared" si="1"/>
        <v>59334</v>
      </c>
      <c r="F41" s="1">
        <f>240+6364</f>
        <v>6604</v>
      </c>
      <c r="G41" s="1">
        <f>321+12959</f>
        <v>13280</v>
      </c>
      <c r="H41" s="1">
        <v>20933</v>
      </c>
      <c r="I41" s="1">
        <v>18517</v>
      </c>
      <c r="J41" s="1"/>
      <c r="K41" s="1"/>
      <c r="L41" s="1"/>
      <c r="M41" s="1"/>
      <c r="N41" s="1"/>
      <c r="O41" s="14"/>
      <c r="P41" s="1"/>
      <c r="Q41" s="14"/>
      <c r="R41" s="1">
        <f t="shared" si="2"/>
        <v>59334</v>
      </c>
    </row>
    <row r="42" spans="3:18" ht="15.75" customHeight="1" x14ac:dyDescent="0.25">
      <c r="C42" s="45" t="s">
        <v>90</v>
      </c>
      <c r="D42" s="49">
        <f>+R42</f>
        <v>57032</v>
      </c>
      <c r="F42" s="1"/>
      <c r="G42" s="1">
        <f>90+5262</f>
        <v>5352</v>
      </c>
      <c r="H42" s="1">
        <v>26647</v>
      </c>
      <c r="I42" s="1">
        <v>25033</v>
      </c>
      <c r="J42" s="1"/>
      <c r="K42" s="1"/>
      <c r="L42" s="1"/>
      <c r="M42" s="1"/>
      <c r="N42" s="1"/>
      <c r="O42" s="87"/>
      <c r="P42" s="2"/>
      <c r="Q42" s="87"/>
      <c r="R42" s="1">
        <f t="shared" si="2"/>
        <v>57032</v>
      </c>
    </row>
    <row r="43" spans="3:18" x14ac:dyDescent="0.25">
      <c r="C43" s="45" t="s">
        <v>91</v>
      </c>
      <c r="D43" s="49">
        <f>+R43</f>
        <v>38841</v>
      </c>
      <c r="F43" s="1"/>
      <c r="G43" s="1">
        <f>114+2886</f>
        <v>3000</v>
      </c>
      <c r="H43" s="1">
        <v>18971</v>
      </c>
      <c r="I43" s="1">
        <v>16870</v>
      </c>
      <c r="J43" s="1"/>
      <c r="K43" s="1"/>
      <c r="L43" s="1"/>
      <c r="M43" s="1"/>
      <c r="N43" s="1"/>
      <c r="O43" s="87"/>
      <c r="P43" s="2"/>
      <c r="Q43" s="87"/>
      <c r="R43" s="1">
        <f t="shared" si="2"/>
        <v>38841</v>
      </c>
    </row>
    <row r="44" spans="3:18" ht="14.25" customHeight="1" x14ac:dyDescent="0.25">
      <c r="C44" s="45" t="s">
        <v>92</v>
      </c>
      <c r="D44" s="49">
        <f>+R44</f>
        <v>35114</v>
      </c>
      <c r="F44" s="1"/>
      <c r="G44" s="1">
        <f>75+3170</f>
        <v>3245</v>
      </c>
      <c r="H44" s="1">
        <v>17782</v>
      </c>
      <c r="I44" s="1">
        <v>14087</v>
      </c>
      <c r="J44" s="1"/>
      <c r="K44" s="1"/>
      <c r="L44" s="1"/>
      <c r="M44" s="1"/>
      <c r="N44" s="1"/>
      <c r="O44" s="87"/>
      <c r="P44" s="2"/>
      <c r="Q44" s="87"/>
      <c r="R44" s="1">
        <f t="shared" si="2"/>
        <v>35114</v>
      </c>
    </row>
    <row r="45" spans="3:18" ht="14.25" customHeight="1" x14ac:dyDescent="0.25">
      <c r="C45" s="45" t="s">
        <v>93</v>
      </c>
      <c r="D45" s="49">
        <f>+R45</f>
        <v>33648</v>
      </c>
      <c r="F45" s="1"/>
      <c r="G45" s="1">
        <f>73+3092</f>
        <v>3165</v>
      </c>
      <c r="H45" s="1">
        <v>15650</v>
      </c>
      <c r="I45" s="1">
        <v>14833</v>
      </c>
      <c r="J45" s="1"/>
      <c r="K45" s="1"/>
      <c r="L45" s="1"/>
      <c r="M45" s="1"/>
      <c r="N45" s="1"/>
      <c r="O45" s="87"/>
      <c r="P45" s="2"/>
      <c r="Q45" s="87"/>
      <c r="R45" s="1">
        <f t="shared" si="2"/>
        <v>33648</v>
      </c>
    </row>
    <row r="46" spans="3:18" x14ac:dyDescent="0.25">
      <c r="C46" s="46" t="s">
        <v>22</v>
      </c>
      <c r="D46" s="50">
        <f t="shared" si="1"/>
        <v>150988</v>
      </c>
      <c r="F46" s="1">
        <f>1788+520+26790</f>
        <v>29098</v>
      </c>
      <c r="G46" s="1">
        <f>2114+668+34702</f>
        <v>37484</v>
      </c>
      <c r="H46" s="1">
        <v>46414</v>
      </c>
      <c r="I46" s="1">
        <v>37992</v>
      </c>
      <c r="J46" s="1"/>
      <c r="K46" s="1"/>
      <c r="L46" s="1"/>
      <c r="M46" s="1"/>
      <c r="N46" s="1"/>
      <c r="O46" s="14"/>
      <c r="P46" s="1"/>
      <c r="Q46" s="14"/>
      <c r="R46" s="1">
        <f t="shared" si="2"/>
        <v>150988</v>
      </c>
    </row>
    <row r="47" spans="3:18" x14ac:dyDescent="0.25">
      <c r="C47" s="45" t="s">
        <v>73</v>
      </c>
      <c r="D47" s="49">
        <f t="shared" si="1"/>
        <v>19714</v>
      </c>
      <c r="E47" s="10"/>
      <c r="F47" s="1"/>
      <c r="G47" s="1">
        <f>105+2270</f>
        <v>2375</v>
      </c>
      <c r="H47" s="1">
        <v>10470</v>
      </c>
      <c r="I47" s="1">
        <v>6869</v>
      </c>
      <c r="J47" s="1"/>
      <c r="K47" s="1"/>
      <c r="L47" s="1"/>
      <c r="M47" s="1"/>
      <c r="N47" s="1"/>
      <c r="O47" s="14"/>
      <c r="P47" s="1"/>
      <c r="Q47" s="14"/>
      <c r="R47" s="1">
        <f t="shared" si="2"/>
        <v>19714</v>
      </c>
    </row>
    <row r="48" spans="3:18" ht="13.5" customHeight="1" x14ac:dyDescent="0.25">
      <c r="C48" s="46" t="s">
        <v>62</v>
      </c>
      <c r="D48" s="50">
        <f t="shared" si="1"/>
        <v>21812</v>
      </c>
      <c r="F48" s="1">
        <f>131+4234</f>
        <v>4365</v>
      </c>
      <c r="G48" s="1">
        <f>155+5356</f>
        <v>5511</v>
      </c>
      <c r="H48" s="1">
        <v>6695</v>
      </c>
      <c r="I48" s="1">
        <v>5241</v>
      </c>
      <c r="J48" s="1"/>
      <c r="K48" s="1"/>
      <c r="L48" s="1"/>
      <c r="M48" s="1"/>
      <c r="N48" s="1"/>
      <c r="O48" s="14"/>
      <c r="P48" s="1"/>
      <c r="Q48" s="14"/>
      <c r="R48" s="1">
        <f t="shared" si="2"/>
        <v>21812</v>
      </c>
    </row>
    <row r="49" spans="3:18" x14ac:dyDescent="0.25">
      <c r="C49" s="45" t="s">
        <v>24</v>
      </c>
      <c r="D49" s="49">
        <f t="shared" si="1"/>
        <v>26781</v>
      </c>
      <c r="F49" s="1">
        <f>150+5155</f>
        <v>5305</v>
      </c>
      <c r="G49" s="1">
        <f>190+6550</f>
        <v>6740</v>
      </c>
      <c r="H49" s="1">
        <v>8236</v>
      </c>
      <c r="I49" s="1">
        <v>6500</v>
      </c>
      <c r="J49" s="1"/>
      <c r="K49" s="1"/>
      <c r="L49" s="1"/>
      <c r="M49" s="1"/>
      <c r="N49" s="1"/>
      <c r="O49" s="14"/>
      <c r="P49" s="1"/>
      <c r="Q49" s="14"/>
      <c r="R49" s="1">
        <f t="shared" si="2"/>
        <v>26781</v>
      </c>
    </row>
    <row r="50" spans="3:18" ht="14.25" customHeight="1" x14ac:dyDescent="0.25">
      <c r="C50" s="46" t="s">
        <v>60</v>
      </c>
      <c r="D50" s="50">
        <f t="shared" si="1"/>
        <v>22099</v>
      </c>
      <c r="F50" s="1">
        <f>120+4292</f>
        <v>4412</v>
      </c>
      <c r="G50" s="1">
        <f>152+5427</f>
        <v>5579</v>
      </c>
      <c r="H50" s="1">
        <v>6813</v>
      </c>
      <c r="I50" s="1">
        <v>5295</v>
      </c>
      <c r="J50" s="1"/>
      <c r="K50" s="1"/>
      <c r="L50" s="1"/>
      <c r="M50" s="1"/>
      <c r="N50" s="1"/>
      <c r="O50" s="14"/>
      <c r="P50" s="1"/>
      <c r="Q50" s="14"/>
      <c r="R50" s="1">
        <f t="shared" si="2"/>
        <v>22099</v>
      </c>
    </row>
    <row r="51" spans="3:18" x14ac:dyDescent="0.25">
      <c r="C51" s="45" t="s">
        <v>23</v>
      </c>
      <c r="D51" s="49">
        <f t="shared" si="1"/>
        <v>74846</v>
      </c>
      <c r="F51" s="1">
        <f>363+14024</f>
        <v>14387</v>
      </c>
      <c r="G51" s="1">
        <f>471+17821</f>
        <v>18292</v>
      </c>
      <c r="H51" s="1">
        <v>22550</v>
      </c>
      <c r="I51" s="1">
        <v>19617</v>
      </c>
      <c r="J51" s="1"/>
      <c r="K51" s="1"/>
      <c r="L51" s="1"/>
      <c r="M51" s="1"/>
      <c r="N51" s="1"/>
      <c r="O51" s="14"/>
      <c r="P51" s="1"/>
      <c r="Q51" s="14"/>
      <c r="R51" s="1">
        <f t="shared" si="2"/>
        <v>74846</v>
      </c>
    </row>
    <row r="52" spans="3:18" ht="15.75" x14ac:dyDescent="0.25">
      <c r="C52" s="47" t="s">
        <v>57</v>
      </c>
      <c r="D52" s="50">
        <f t="shared" si="1"/>
        <v>131125</v>
      </c>
      <c r="F52" s="1">
        <f>462+25253</f>
        <v>25715</v>
      </c>
      <c r="G52" s="1">
        <f>570+33566+230</f>
        <v>34366</v>
      </c>
      <c r="H52" s="1">
        <v>40054</v>
      </c>
      <c r="I52" s="1">
        <v>30990</v>
      </c>
      <c r="J52" s="1"/>
      <c r="K52" s="1"/>
      <c r="L52" s="1"/>
      <c r="M52" s="1"/>
      <c r="N52" s="1"/>
      <c r="O52" s="14"/>
      <c r="P52" s="1"/>
      <c r="Q52" s="14"/>
      <c r="R52" s="1">
        <f t="shared" si="2"/>
        <v>131125</v>
      </c>
    </row>
    <row r="53" spans="3:18" x14ac:dyDescent="0.25">
      <c r="C53" s="45" t="s">
        <v>25</v>
      </c>
      <c r="D53" s="49">
        <f t="shared" si="1"/>
        <v>135439</v>
      </c>
      <c r="F53" s="1">
        <f>864+24868</f>
        <v>25732</v>
      </c>
      <c r="G53" s="1">
        <f>1104+32483</f>
        <v>33587</v>
      </c>
      <c r="H53" s="1">
        <v>42761</v>
      </c>
      <c r="I53" s="1">
        <v>33359</v>
      </c>
      <c r="J53" s="1"/>
      <c r="K53" s="1"/>
      <c r="L53" s="1"/>
      <c r="M53" s="1"/>
      <c r="N53" s="1"/>
      <c r="O53" s="14"/>
      <c r="P53" s="1"/>
      <c r="Q53" s="14"/>
      <c r="R53" s="1">
        <f t="shared" si="2"/>
        <v>135439</v>
      </c>
    </row>
    <row r="54" spans="3:18" x14ac:dyDescent="0.25">
      <c r="C54" s="46" t="s">
        <v>26</v>
      </c>
      <c r="D54" s="50">
        <f t="shared" si="1"/>
        <v>68345</v>
      </c>
      <c r="F54" s="1">
        <f>272+16420</f>
        <v>16692</v>
      </c>
      <c r="G54" s="1">
        <f>340+15989</f>
        <v>16329</v>
      </c>
      <c r="H54" s="1">
        <v>19948</v>
      </c>
      <c r="I54" s="1">
        <v>15376</v>
      </c>
      <c r="J54" s="1"/>
      <c r="K54" s="1"/>
      <c r="L54" s="1"/>
      <c r="M54" s="1"/>
      <c r="N54" s="1"/>
      <c r="O54" s="14"/>
      <c r="P54" s="1"/>
      <c r="Q54" s="14"/>
      <c r="R54" s="1">
        <f t="shared" si="2"/>
        <v>68345</v>
      </c>
    </row>
    <row r="55" spans="3:18" x14ac:dyDescent="0.25">
      <c r="C55" s="46" t="s">
        <v>99</v>
      </c>
      <c r="D55" s="50">
        <f t="shared" si="1"/>
        <v>7210</v>
      </c>
      <c r="F55" s="1"/>
      <c r="G55" s="1"/>
      <c r="H55" s="1"/>
      <c r="I55" s="1">
        <v>7210</v>
      </c>
      <c r="J55" s="1"/>
      <c r="K55" s="1"/>
      <c r="L55" s="1"/>
      <c r="M55" s="1"/>
      <c r="N55" s="1"/>
      <c r="O55" s="14"/>
      <c r="P55" s="1"/>
      <c r="Q55" s="14"/>
      <c r="R55" s="1">
        <f t="shared" si="2"/>
        <v>7210</v>
      </c>
    </row>
    <row r="56" spans="3:18" x14ac:dyDescent="0.25">
      <c r="C56" s="45" t="s">
        <v>34</v>
      </c>
      <c r="D56" s="49">
        <f t="shared" si="1"/>
        <v>88355</v>
      </c>
      <c r="F56" s="1">
        <f>225+16451</f>
        <v>16676</v>
      </c>
      <c r="G56" s="1">
        <f>285+24072</f>
        <v>24357</v>
      </c>
      <c r="H56" s="1">
        <v>30167</v>
      </c>
      <c r="I56" s="1">
        <v>17155</v>
      </c>
      <c r="J56" s="1"/>
      <c r="K56" s="1"/>
      <c r="L56" s="1"/>
      <c r="M56" s="1"/>
      <c r="N56" s="1"/>
      <c r="O56" s="14"/>
      <c r="P56" s="1"/>
      <c r="Q56" s="14"/>
      <c r="R56" s="1">
        <f t="shared" si="2"/>
        <v>88355</v>
      </c>
    </row>
    <row r="57" spans="3:18" ht="15" customHeight="1" x14ac:dyDescent="0.25">
      <c r="C57" s="46" t="s">
        <v>42</v>
      </c>
      <c r="D57" s="50">
        <f t="shared" si="1"/>
        <v>63747</v>
      </c>
      <c r="F57" s="1">
        <f>475+9728</f>
        <v>10203</v>
      </c>
      <c r="G57" s="1">
        <f>552+14353</f>
        <v>14905</v>
      </c>
      <c r="H57" s="1">
        <v>19800</v>
      </c>
      <c r="I57" s="1">
        <v>18839</v>
      </c>
      <c r="J57" s="1"/>
      <c r="K57" s="1"/>
      <c r="L57" s="1"/>
      <c r="M57" s="1"/>
      <c r="N57" s="1"/>
      <c r="O57" s="14"/>
      <c r="P57" s="1"/>
      <c r="Q57" s="14"/>
      <c r="R57" s="1">
        <f t="shared" si="2"/>
        <v>63747</v>
      </c>
    </row>
    <row r="58" spans="3:18" ht="15" customHeight="1" x14ac:dyDescent="0.25">
      <c r="C58" s="45" t="s">
        <v>58</v>
      </c>
      <c r="D58" s="49">
        <f t="shared" si="1"/>
        <v>122517</v>
      </c>
      <c r="F58" s="1">
        <f>340+28715</f>
        <v>29055</v>
      </c>
      <c r="G58" s="1">
        <f>494+30295</f>
        <v>30789</v>
      </c>
      <c r="H58" s="1">
        <v>34183</v>
      </c>
      <c r="I58" s="1">
        <v>28490</v>
      </c>
      <c r="J58" s="1"/>
      <c r="K58" s="1"/>
      <c r="L58" s="1"/>
      <c r="M58" s="1"/>
      <c r="N58" s="1"/>
      <c r="O58" s="14"/>
      <c r="P58" s="1"/>
      <c r="Q58" s="14"/>
      <c r="R58" s="1">
        <f t="shared" si="2"/>
        <v>122517</v>
      </c>
    </row>
    <row r="59" spans="3:18" x14ac:dyDescent="0.25">
      <c r="C59" s="46" t="s">
        <v>40</v>
      </c>
      <c r="D59" s="50">
        <f t="shared" si="1"/>
        <v>41762</v>
      </c>
      <c r="F59" s="1">
        <f>480+7105</f>
        <v>7585</v>
      </c>
      <c r="G59" s="1">
        <f>608+9833</f>
        <v>10441</v>
      </c>
      <c r="H59" s="1">
        <v>12563</v>
      </c>
      <c r="I59" s="1">
        <v>11173</v>
      </c>
      <c r="J59" s="1"/>
      <c r="K59" s="1"/>
      <c r="L59" s="1"/>
      <c r="M59" s="1"/>
      <c r="N59" s="1"/>
      <c r="O59" s="14"/>
      <c r="P59" s="1"/>
      <c r="Q59" s="14"/>
      <c r="R59" s="1">
        <f t="shared" si="2"/>
        <v>41762</v>
      </c>
    </row>
    <row r="60" spans="3:18" ht="13.5" customHeight="1" x14ac:dyDescent="0.25">
      <c r="C60" s="45" t="s">
        <v>29</v>
      </c>
      <c r="D60" s="49">
        <f t="shared" si="1"/>
        <v>115197</v>
      </c>
      <c r="F60" s="1">
        <f>241+22040</f>
        <v>22281</v>
      </c>
      <c r="G60" s="1">
        <f>322+29233</f>
        <v>29555</v>
      </c>
      <c r="H60" s="1">
        <v>34841</v>
      </c>
      <c r="I60" s="1">
        <v>28520</v>
      </c>
      <c r="J60" s="1"/>
      <c r="K60" s="1"/>
      <c r="L60" s="1"/>
      <c r="M60" s="1"/>
      <c r="N60" s="1"/>
      <c r="O60" s="14"/>
      <c r="P60" s="1"/>
      <c r="Q60" s="14"/>
      <c r="R60" s="1">
        <f t="shared" si="2"/>
        <v>115197</v>
      </c>
    </row>
    <row r="61" spans="3:18" ht="14.25" customHeight="1" x14ac:dyDescent="0.25">
      <c r="C61" s="46" t="s">
        <v>27</v>
      </c>
      <c r="D61" s="50">
        <f t="shared" si="1"/>
        <v>106223</v>
      </c>
      <c r="F61" s="1">
        <f>476+16179+1000</f>
        <v>17655</v>
      </c>
      <c r="G61" s="1">
        <f>597+24089</f>
        <v>24686</v>
      </c>
      <c r="H61" s="1">
        <v>36313</v>
      </c>
      <c r="I61" s="1">
        <v>27569</v>
      </c>
      <c r="J61" s="1"/>
      <c r="K61" s="1"/>
      <c r="L61" s="1"/>
      <c r="M61" s="1"/>
      <c r="N61" s="1"/>
      <c r="O61" s="14"/>
      <c r="P61" s="1"/>
      <c r="Q61" s="14"/>
      <c r="R61" s="1">
        <f t="shared" si="2"/>
        <v>106223</v>
      </c>
    </row>
    <row r="62" spans="3:18" x14ac:dyDescent="0.25">
      <c r="C62" s="45" t="s">
        <v>33</v>
      </c>
      <c r="D62" s="49">
        <f t="shared" si="1"/>
        <v>87685</v>
      </c>
      <c r="F62" s="1">
        <f>225+16021</f>
        <v>16246</v>
      </c>
      <c r="G62" s="1">
        <f>285+20929</f>
        <v>21214</v>
      </c>
      <c r="H62" s="1">
        <v>28297</v>
      </c>
      <c r="I62" s="1">
        <v>21928</v>
      </c>
      <c r="J62" s="1"/>
      <c r="K62" s="1"/>
      <c r="L62" s="1"/>
      <c r="M62" s="1"/>
      <c r="N62" s="1"/>
      <c r="O62" s="14"/>
      <c r="P62" s="1"/>
      <c r="Q62" s="14"/>
      <c r="R62" s="1">
        <f t="shared" si="2"/>
        <v>87685</v>
      </c>
    </row>
    <row r="63" spans="3:18" ht="15" customHeight="1" x14ac:dyDescent="0.25">
      <c r="C63" s="46" t="s">
        <v>28</v>
      </c>
      <c r="D63" s="50">
        <f t="shared" si="1"/>
        <v>87909</v>
      </c>
      <c r="F63" s="1">
        <f>270+13982</f>
        <v>14252</v>
      </c>
      <c r="G63" s="1">
        <f>392+21010</f>
        <v>21402</v>
      </c>
      <c r="H63" s="1">
        <v>28989</v>
      </c>
      <c r="I63" s="1">
        <v>23266</v>
      </c>
      <c r="J63" s="1"/>
      <c r="K63" s="1"/>
      <c r="L63" s="1"/>
      <c r="M63" s="1"/>
      <c r="N63" s="1"/>
      <c r="O63" s="14"/>
      <c r="P63" s="1"/>
      <c r="Q63" s="14"/>
      <c r="R63" s="1">
        <f t="shared" si="2"/>
        <v>87909</v>
      </c>
    </row>
    <row r="64" spans="3:18" ht="15.75" customHeight="1" x14ac:dyDescent="0.25">
      <c r="C64" s="45" t="s">
        <v>37</v>
      </c>
      <c r="D64" s="49">
        <f t="shared" si="1"/>
        <v>158257</v>
      </c>
      <c r="F64" s="1">
        <f>407+28559</f>
        <v>28966</v>
      </c>
      <c r="G64" s="1">
        <f>495+38853+600</f>
        <v>39948</v>
      </c>
      <c r="H64" s="1">
        <v>50731</v>
      </c>
      <c r="I64" s="1">
        <v>38612</v>
      </c>
      <c r="J64" s="1"/>
      <c r="K64" s="1"/>
      <c r="L64" s="1"/>
      <c r="M64" s="1"/>
      <c r="N64" s="1"/>
      <c r="O64" s="14"/>
      <c r="P64" s="1"/>
      <c r="Q64" s="14"/>
      <c r="R64" s="1">
        <f t="shared" si="2"/>
        <v>158257</v>
      </c>
    </row>
    <row r="65" spans="3:20" ht="16.5" customHeight="1" x14ac:dyDescent="0.25">
      <c r="C65" s="45" t="s">
        <v>97</v>
      </c>
      <c r="D65" s="49">
        <f>R65</f>
        <v>36140</v>
      </c>
      <c r="F65" s="1"/>
      <c r="G65" s="1">
        <f>259+1517</f>
        <v>1776</v>
      </c>
      <c r="H65" s="1">
        <v>21464</v>
      </c>
      <c r="I65" s="1">
        <v>12900</v>
      </c>
      <c r="J65" s="1"/>
      <c r="K65" s="1"/>
      <c r="L65" s="1"/>
      <c r="M65" s="1"/>
      <c r="N65" s="1"/>
      <c r="O65" s="14"/>
      <c r="P65" s="1"/>
      <c r="Q65" s="14"/>
      <c r="R65" s="1">
        <f t="shared" si="2"/>
        <v>36140</v>
      </c>
    </row>
    <row r="66" spans="3:20" ht="12.75" customHeight="1" x14ac:dyDescent="0.25">
      <c r="C66" s="46" t="s">
        <v>39</v>
      </c>
      <c r="D66" s="50">
        <f t="shared" si="1"/>
        <v>133245</v>
      </c>
      <c r="F66" s="1">
        <f>448+19927</f>
        <v>20375</v>
      </c>
      <c r="G66" s="1">
        <f>608+35699+200</f>
        <v>36507</v>
      </c>
      <c r="H66" s="1">
        <v>43218</v>
      </c>
      <c r="I66" s="1">
        <v>33145</v>
      </c>
      <c r="J66" s="1"/>
      <c r="K66" s="1"/>
      <c r="L66" s="1"/>
      <c r="M66" s="1"/>
      <c r="N66" s="1"/>
      <c r="O66" s="14"/>
      <c r="P66" s="1"/>
      <c r="Q66" s="14"/>
      <c r="R66" s="1">
        <f t="shared" si="2"/>
        <v>133245</v>
      </c>
    </row>
    <row r="67" spans="3:20" ht="15" customHeight="1" x14ac:dyDescent="0.25">
      <c r="C67" s="45" t="s">
        <v>70</v>
      </c>
      <c r="D67" s="49">
        <f t="shared" si="1"/>
        <v>112773</v>
      </c>
      <c r="F67" s="1">
        <f>220+20369</f>
        <v>20589</v>
      </c>
      <c r="G67" s="1">
        <f>278+26967</f>
        <v>27245</v>
      </c>
      <c r="H67" s="1">
        <v>34569</v>
      </c>
      <c r="I67" s="1">
        <v>30370</v>
      </c>
      <c r="J67" s="1"/>
      <c r="K67" s="1"/>
      <c r="L67" s="1"/>
      <c r="M67" s="1"/>
      <c r="N67" s="1"/>
      <c r="O67" s="14"/>
      <c r="P67" s="1"/>
      <c r="Q67" s="14"/>
      <c r="R67" s="1">
        <f t="shared" si="2"/>
        <v>112773</v>
      </c>
    </row>
    <row r="68" spans="3:20" ht="12.75" customHeight="1" x14ac:dyDescent="0.25">
      <c r="C68" s="46" t="s">
        <v>30</v>
      </c>
      <c r="D68" s="50">
        <f t="shared" si="1"/>
        <v>107170</v>
      </c>
      <c r="F68" s="1">
        <f>363+19034</f>
        <v>19397</v>
      </c>
      <c r="G68" s="1">
        <f>484+26680</f>
        <v>27164</v>
      </c>
      <c r="H68" s="1">
        <v>33369</v>
      </c>
      <c r="I68" s="1">
        <v>27240</v>
      </c>
      <c r="J68" s="1"/>
      <c r="K68" s="1"/>
      <c r="L68" s="1"/>
      <c r="M68" s="1"/>
      <c r="N68" s="1"/>
      <c r="O68" s="14"/>
      <c r="P68" s="1"/>
      <c r="Q68" s="14"/>
      <c r="R68" s="1">
        <f t="shared" si="2"/>
        <v>107170</v>
      </c>
      <c r="T68" s="10"/>
    </row>
    <row r="69" spans="3:20" ht="13.5" customHeight="1" x14ac:dyDescent="0.25">
      <c r="C69" s="45" t="s">
        <v>31</v>
      </c>
      <c r="D69" s="49">
        <f t="shared" si="1"/>
        <v>65474</v>
      </c>
      <c r="F69" s="1">
        <f>510+11663</f>
        <v>12173</v>
      </c>
      <c r="G69" s="1">
        <f>646+16064</f>
        <v>16710</v>
      </c>
      <c r="H69" s="1">
        <v>20199</v>
      </c>
      <c r="I69" s="1">
        <v>16392</v>
      </c>
      <c r="J69" s="1"/>
      <c r="K69" s="1"/>
      <c r="L69" s="1"/>
      <c r="M69" s="1"/>
      <c r="N69" s="1"/>
      <c r="O69" s="14"/>
      <c r="P69" s="1"/>
      <c r="Q69" s="14"/>
      <c r="R69" s="1">
        <f t="shared" si="2"/>
        <v>65474</v>
      </c>
      <c r="T69" s="4"/>
    </row>
    <row r="70" spans="3:20" x14ac:dyDescent="0.25">
      <c r="C70" s="41" t="s">
        <v>32</v>
      </c>
      <c r="D70" s="50">
        <f t="shared" si="1"/>
        <v>127031</v>
      </c>
      <c r="F70" s="1">
        <f>343+23204</f>
        <v>23547</v>
      </c>
      <c r="G70" s="1">
        <f>415+31062+100</f>
        <v>31577</v>
      </c>
      <c r="H70" s="1">
        <v>41436</v>
      </c>
      <c r="I70" s="1">
        <v>30471</v>
      </c>
      <c r="J70" s="1"/>
      <c r="K70" s="1"/>
      <c r="L70" s="1"/>
      <c r="M70" s="1"/>
      <c r="N70" s="1"/>
      <c r="O70" s="14"/>
      <c r="P70" s="1"/>
      <c r="Q70" s="14"/>
      <c r="R70" s="1">
        <f t="shared" si="2"/>
        <v>127031</v>
      </c>
    </row>
    <row r="71" spans="3:20" x14ac:dyDescent="0.25">
      <c r="C71" s="45" t="s">
        <v>75</v>
      </c>
      <c r="D71" s="49">
        <f t="shared" si="1"/>
        <v>97189</v>
      </c>
      <c r="F71" s="1">
        <f>300+18102</f>
        <v>18402</v>
      </c>
      <c r="G71" s="1">
        <f>380+24540</f>
        <v>24920</v>
      </c>
      <c r="H71" s="1">
        <v>30178</v>
      </c>
      <c r="I71" s="1">
        <v>23689</v>
      </c>
      <c r="J71" s="1"/>
      <c r="K71" s="1"/>
      <c r="L71" s="1"/>
      <c r="M71" s="1"/>
      <c r="N71" s="1"/>
      <c r="O71" s="14"/>
      <c r="P71" s="1"/>
      <c r="Q71" s="14"/>
      <c r="R71" s="1">
        <f t="shared" si="2"/>
        <v>97189</v>
      </c>
    </row>
    <row r="72" spans="3:20" x14ac:dyDescent="0.25">
      <c r="C72" s="46" t="s">
        <v>38</v>
      </c>
      <c r="D72" s="50">
        <f t="shared" si="1"/>
        <v>107252</v>
      </c>
      <c r="F72" s="1">
        <f>300+18014</f>
        <v>18314</v>
      </c>
      <c r="G72" s="1">
        <f>380+23881</f>
        <v>24261</v>
      </c>
      <c r="H72" s="1">
        <v>34402</v>
      </c>
      <c r="I72" s="1">
        <v>30275</v>
      </c>
      <c r="J72" s="1"/>
      <c r="K72" s="1"/>
      <c r="L72" s="1"/>
      <c r="M72" s="1"/>
      <c r="N72" s="1"/>
      <c r="O72" s="14"/>
      <c r="P72" s="1"/>
      <c r="Q72" s="14"/>
      <c r="R72" s="1">
        <f t="shared" si="2"/>
        <v>107252</v>
      </c>
    </row>
    <row r="73" spans="3:20" x14ac:dyDescent="0.25">
      <c r="C73" s="45" t="s">
        <v>35</v>
      </c>
      <c r="D73" s="49">
        <f t="shared" si="1"/>
        <v>45783</v>
      </c>
      <c r="F73" s="1">
        <f>470+8703</f>
        <v>9173</v>
      </c>
      <c r="G73" s="1">
        <f>666+10920+300</f>
        <v>11886</v>
      </c>
      <c r="H73" s="1">
        <v>13834</v>
      </c>
      <c r="I73" s="1">
        <v>10890</v>
      </c>
      <c r="J73" s="1"/>
      <c r="K73" s="1"/>
      <c r="L73" s="1"/>
      <c r="M73" s="1"/>
      <c r="N73" s="1"/>
      <c r="O73" s="14"/>
      <c r="P73" s="1"/>
      <c r="Q73" s="14"/>
      <c r="R73" s="1">
        <f t="shared" ref="R73:R77" si="4">SUM(F73:Q73)</f>
        <v>45783</v>
      </c>
    </row>
    <row r="74" spans="3:20" x14ac:dyDescent="0.25">
      <c r="C74" s="46" t="s">
        <v>65</v>
      </c>
      <c r="D74" s="50">
        <f t="shared" si="1"/>
        <v>91755</v>
      </c>
      <c r="F74" s="1">
        <f>195+17667</f>
        <v>17862</v>
      </c>
      <c r="G74" s="1">
        <f>212+21748</f>
        <v>21960</v>
      </c>
      <c r="H74" s="1">
        <v>30306</v>
      </c>
      <c r="I74" s="1">
        <v>21627</v>
      </c>
      <c r="J74" s="1"/>
      <c r="K74" s="1"/>
      <c r="L74" s="1"/>
      <c r="M74" s="1"/>
      <c r="N74" s="1"/>
      <c r="O74" s="14"/>
      <c r="P74" s="1"/>
      <c r="Q74" s="14"/>
      <c r="R74" s="1">
        <f t="shared" si="4"/>
        <v>91755</v>
      </c>
    </row>
    <row r="75" spans="3:20" x14ac:dyDescent="0.25">
      <c r="C75" s="45" t="s">
        <v>36</v>
      </c>
      <c r="D75" s="49">
        <f t="shared" si="1"/>
        <v>123452</v>
      </c>
      <c r="F75" s="1">
        <f>495+23245</f>
        <v>23740</v>
      </c>
      <c r="G75" s="1">
        <f>627+30081</f>
        <v>30708</v>
      </c>
      <c r="H75" s="1">
        <v>38226</v>
      </c>
      <c r="I75" s="1">
        <v>30778</v>
      </c>
      <c r="J75" s="1"/>
      <c r="K75" s="1"/>
      <c r="L75" s="1"/>
      <c r="M75" s="1"/>
      <c r="N75" s="1"/>
      <c r="O75" s="14"/>
      <c r="P75" s="1"/>
      <c r="Q75" s="14"/>
      <c r="R75" s="1">
        <f t="shared" si="4"/>
        <v>123452</v>
      </c>
    </row>
    <row r="76" spans="3:20" x14ac:dyDescent="0.25">
      <c r="C76" s="46" t="s">
        <v>69</v>
      </c>
      <c r="D76" s="50">
        <f t="shared" si="1"/>
        <v>99820</v>
      </c>
      <c r="F76" s="1">
        <f>405+18992+900</f>
        <v>20297</v>
      </c>
      <c r="G76" s="1">
        <f>513+20290+1400</f>
        <v>22203</v>
      </c>
      <c r="H76" s="1">
        <v>31675</v>
      </c>
      <c r="I76" s="1">
        <v>25645</v>
      </c>
      <c r="J76" s="1"/>
      <c r="K76" s="1"/>
      <c r="L76" s="1"/>
      <c r="M76" s="1"/>
      <c r="N76" s="1"/>
      <c r="O76" s="14"/>
      <c r="P76" s="1"/>
      <c r="Q76" s="14"/>
      <c r="R76" s="1">
        <f t="shared" si="4"/>
        <v>99820</v>
      </c>
    </row>
    <row r="77" spans="3:20" x14ac:dyDescent="0.25">
      <c r="C77" s="45" t="s">
        <v>41</v>
      </c>
      <c r="D77" s="49">
        <f t="shared" si="1"/>
        <v>95045</v>
      </c>
      <c r="F77" s="1">
        <f>600+17937</f>
        <v>18537</v>
      </c>
      <c r="G77" s="1">
        <f>880+23457</f>
        <v>24337</v>
      </c>
      <c r="H77" s="1">
        <v>28556</v>
      </c>
      <c r="I77" s="1">
        <v>23615</v>
      </c>
      <c r="J77" s="1"/>
      <c r="K77" s="1"/>
      <c r="L77" s="1"/>
      <c r="M77" s="1"/>
      <c r="N77" s="1"/>
      <c r="O77" s="14"/>
      <c r="P77" s="1"/>
      <c r="Q77" s="14"/>
      <c r="R77" s="1">
        <f t="shared" si="4"/>
        <v>95045</v>
      </c>
    </row>
    <row r="78" spans="3:20" x14ac:dyDescent="0.25">
      <c r="C78" s="45"/>
      <c r="D78" s="49"/>
      <c r="F78" s="1"/>
      <c r="G78" s="1"/>
      <c r="H78" s="1"/>
      <c r="I78" s="1"/>
      <c r="J78" s="1"/>
      <c r="K78" s="1"/>
      <c r="L78" s="1"/>
      <c r="M78" s="1"/>
      <c r="N78" s="1"/>
      <c r="O78" s="87"/>
      <c r="P78" s="2"/>
      <c r="Q78" s="87"/>
      <c r="R78" s="1"/>
    </row>
    <row r="79" spans="3:20" x14ac:dyDescent="0.25">
      <c r="C79" s="45"/>
      <c r="D79" s="49"/>
      <c r="F79" s="1"/>
      <c r="G79" s="1"/>
      <c r="H79" s="1"/>
      <c r="I79" s="1"/>
      <c r="J79" s="1"/>
      <c r="K79" s="1"/>
      <c r="L79" s="1"/>
      <c r="M79" s="1"/>
      <c r="N79" s="1"/>
      <c r="O79" s="87"/>
      <c r="P79" s="2"/>
      <c r="Q79" s="87"/>
      <c r="R79" s="1"/>
    </row>
    <row r="80" spans="3:20" ht="15.75" customHeight="1" x14ac:dyDescent="0.25">
      <c r="C80" s="41" t="s">
        <v>44</v>
      </c>
      <c r="D80" s="50">
        <f>SUM(D7:D79)</f>
        <v>8431670</v>
      </c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  <c r="R80" s="1"/>
    </row>
    <row r="81" spans="3:26" ht="15.75" thickBot="1" x14ac:dyDescent="0.3">
      <c r="C81" s="42" t="s">
        <v>45</v>
      </c>
      <c r="D81" s="51">
        <f>D80+D5</f>
        <v>9339859</v>
      </c>
      <c r="F81" s="15">
        <f t="shared" ref="F81:R81" si="5">SUM(F7:F80)</f>
        <v>1455930</v>
      </c>
      <c r="G81" s="15">
        <f t="shared" si="5"/>
        <v>2078782</v>
      </c>
      <c r="H81" s="15">
        <f t="shared" si="5"/>
        <v>2718327</v>
      </c>
      <c r="I81" s="15">
        <f t="shared" si="5"/>
        <v>2178631</v>
      </c>
      <c r="J81" s="15">
        <f t="shared" si="5"/>
        <v>0</v>
      </c>
      <c r="K81" s="15">
        <f t="shared" si="5"/>
        <v>0</v>
      </c>
      <c r="L81" s="15">
        <f t="shared" si="5"/>
        <v>0</v>
      </c>
      <c r="M81" s="15">
        <f t="shared" si="5"/>
        <v>0</v>
      </c>
      <c r="N81" s="15">
        <f t="shared" si="5"/>
        <v>0</v>
      </c>
      <c r="O81" s="16">
        <f t="shared" si="5"/>
        <v>0</v>
      </c>
      <c r="P81" s="16">
        <f t="shared" si="5"/>
        <v>0</v>
      </c>
      <c r="Q81" s="16">
        <f t="shared" si="5"/>
        <v>0</v>
      </c>
      <c r="R81" s="15">
        <f t="shared" si="5"/>
        <v>8431670</v>
      </c>
      <c r="S81" s="10"/>
    </row>
    <row r="82" spans="3:26" x14ac:dyDescent="0.25">
      <c r="C82" s="43"/>
      <c r="D82" s="52">
        <f>SUM(D7:D77)</f>
        <v>8431670</v>
      </c>
      <c r="E82" s="9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26" ht="15.75" thickBot="1" x14ac:dyDescent="0.3">
      <c r="D83" s="44"/>
      <c r="E83" s="4"/>
      <c r="F83" s="93">
        <f>F5+F81</f>
        <v>1646818</v>
      </c>
      <c r="G83" s="93">
        <f>G5+G81</f>
        <v>2281241</v>
      </c>
      <c r="H83" s="93">
        <f>H5+H81</f>
        <v>2976678</v>
      </c>
      <c r="I83" s="93">
        <f>I81+I6</f>
        <v>2435122</v>
      </c>
      <c r="J83" s="84">
        <f>J5+J81</f>
        <v>0</v>
      </c>
      <c r="K83" s="84">
        <f>K81+K6</f>
        <v>0</v>
      </c>
      <c r="L83" s="84">
        <f>L81+L6</f>
        <v>0</v>
      </c>
      <c r="M83" s="85">
        <f t="shared" ref="M83:R83" si="6">+M6+M81</f>
        <v>0</v>
      </c>
      <c r="N83" s="85">
        <f t="shared" si="6"/>
        <v>0</v>
      </c>
      <c r="O83" s="84">
        <f t="shared" si="6"/>
        <v>0</v>
      </c>
      <c r="P83" s="84">
        <f t="shared" si="6"/>
        <v>0</v>
      </c>
      <c r="Q83" s="84">
        <f t="shared" si="6"/>
        <v>0</v>
      </c>
      <c r="R83" s="3">
        <f t="shared" si="6"/>
        <v>9339859</v>
      </c>
      <c r="S83" s="10"/>
    </row>
    <row r="84" spans="3:26" ht="17.25" customHeight="1" x14ac:dyDescent="0.25">
      <c r="D84" s="53"/>
      <c r="E84" t="s">
        <v>56</v>
      </c>
      <c r="F84" s="34">
        <v>76.23</v>
      </c>
      <c r="G84" s="34">
        <v>76.39</v>
      </c>
      <c r="H84" s="34">
        <v>71.05</v>
      </c>
      <c r="I84" s="34"/>
      <c r="J84" s="34" t="e">
        <f t="shared" ref="J84:K84" si="7">+J85/J83</f>
        <v>#DIV/0!</v>
      </c>
      <c r="K84" s="34" t="e">
        <f t="shared" si="7"/>
        <v>#DIV/0!</v>
      </c>
      <c r="L84" s="34" t="e">
        <f>+L85/L83</f>
        <v>#DIV/0!</v>
      </c>
      <c r="M84" s="34" t="e">
        <f>+M85/M83</f>
        <v>#DIV/0!</v>
      </c>
      <c r="N84" s="34">
        <v>50.18</v>
      </c>
      <c r="O84" s="34" t="e">
        <f>+O85/O83</f>
        <v>#DIV/0!</v>
      </c>
      <c r="P84" s="35" t="e">
        <f>+P85/P83</f>
        <v>#DIV/0!</v>
      </c>
      <c r="Q84" s="53" t="e">
        <f>+Q85/Q83</f>
        <v>#DIV/0!</v>
      </c>
      <c r="R84" s="33"/>
      <c r="V84" s="55"/>
      <c r="W84" s="56"/>
      <c r="X84" s="57"/>
    </row>
    <row r="85" spans="3:26" ht="15.75" x14ac:dyDescent="0.25">
      <c r="D85" s="44"/>
      <c r="F85" s="91">
        <f>F84*F81</f>
        <v>110985543.90000001</v>
      </c>
      <c r="G85" s="92">
        <f>G81*G84</f>
        <v>158798156.97999999</v>
      </c>
      <c r="H85" s="92">
        <f>H81*H84</f>
        <v>193137133.34999999</v>
      </c>
      <c r="I85" s="5">
        <f>I81*84.88</f>
        <v>184922199.28</v>
      </c>
      <c r="J85" s="5"/>
      <c r="K85" s="5"/>
      <c r="L85" s="5"/>
      <c r="M85" s="5"/>
      <c r="N85" s="19"/>
      <c r="O85" s="19"/>
      <c r="P85" s="19"/>
      <c r="Q85" s="19"/>
      <c r="R85" s="84"/>
      <c r="S85" s="9"/>
      <c r="V85" s="58"/>
      <c r="W85" s="59"/>
      <c r="X85" s="60"/>
    </row>
    <row r="86" spans="3:26" x14ac:dyDescent="0.25">
      <c r="V86" s="61"/>
      <c r="W86" s="62"/>
      <c r="X86" s="60"/>
    </row>
    <row r="87" spans="3:26" ht="15.75" thickBot="1" x14ac:dyDescent="0.3">
      <c r="D87" s="44"/>
      <c r="E87" s="81" t="s">
        <v>87</v>
      </c>
      <c r="F87" s="10">
        <f>65*50299+30*8265+45*12530+119794*76.23</f>
        <v>13213131.620000001</v>
      </c>
      <c r="G87" s="10">
        <f>49106*65+6495*30+11257*45+135601*76.39</f>
        <v>14251865.390000001</v>
      </c>
      <c r="H87" s="10">
        <f>186470*71.05+71881*58.1118098</f>
        <v>17425828.500233799</v>
      </c>
      <c r="I87" s="10">
        <f>186405*84.88+70086*59.60013412</f>
        <v>19999191.399934318</v>
      </c>
      <c r="J87" s="10"/>
      <c r="K87" s="8"/>
      <c r="L87" s="9"/>
      <c r="M87" s="9"/>
      <c r="N87" s="9"/>
      <c r="O87" s="10"/>
      <c r="P87" s="9"/>
      <c r="Q87" s="10"/>
      <c r="S87" s="4"/>
      <c r="T87" s="4"/>
      <c r="V87" s="63"/>
      <c r="W87" s="64"/>
      <c r="X87" s="65"/>
    </row>
    <row r="88" spans="3:26" x14ac:dyDescent="0.25">
      <c r="E88" t="s">
        <v>88</v>
      </c>
      <c r="F88" s="10">
        <f>1455930*76.23</f>
        <v>110985543.90000001</v>
      </c>
      <c r="G88" s="10">
        <f>G81*76.39</f>
        <v>158798156.97999999</v>
      </c>
      <c r="H88" s="10">
        <f>H81*71.05</f>
        <v>193137133.34999999</v>
      </c>
      <c r="I88" s="10">
        <f>I81*84.88</f>
        <v>184922199.28</v>
      </c>
      <c r="J88" s="20"/>
      <c r="K88" s="10"/>
      <c r="L88" s="22"/>
      <c r="M88" s="9"/>
      <c r="N88" s="9"/>
      <c r="O88" s="10"/>
      <c r="P88" s="31"/>
      <c r="Q88" s="9"/>
      <c r="R88" s="10">
        <f>SUM(F88:Q88)</f>
        <v>647843033.50999999</v>
      </c>
      <c r="U88" s="8"/>
    </row>
    <row r="89" spans="3:26" x14ac:dyDescent="0.25">
      <c r="E89" s="88" t="s">
        <v>55</v>
      </c>
      <c r="F89" s="89">
        <f t="shared" ref="F89:Q89" si="8">SUM(F87:F88)</f>
        <v>124198675.52000001</v>
      </c>
      <c r="G89" s="90">
        <f t="shared" si="8"/>
        <v>173050022.37</v>
      </c>
      <c r="H89" s="90">
        <f t="shared" si="8"/>
        <v>210562961.85023379</v>
      </c>
      <c r="I89" s="23">
        <f>SUM(I87:I88)</f>
        <v>204921390.67993432</v>
      </c>
      <c r="J89" s="83">
        <f t="shared" si="8"/>
        <v>0</v>
      </c>
      <c r="K89" s="23">
        <f t="shared" si="8"/>
        <v>0</v>
      </c>
      <c r="L89" s="23">
        <f t="shared" si="8"/>
        <v>0</v>
      </c>
      <c r="M89" s="21">
        <f t="shared" si="8"/>
        <v>0</v>
      </c>
      <c r="N89" s="21">
        <f t="shared" si="8"/>
        <v>0</v>
      </c>
      <c r="O89" s="82">
        <f t="shared" si="8"/>
        <v>0</v>
      </c>
      <c r="P89" s="21">
        <f t="shared" si="8"/>
        <v>0</v>
      </c>
      <c r="Q89" s="23">
        <f t="shared" si="8"/>
        <v>0</v>
      </c>
      <c r="U89" s="24"/>
      <c r="V89" s="9"/>
    </row>
    <row r="90" spans="3:26" x14ac:dyDescent="0.25">
      <c r="J90" s="13"/>
      <c r="L90" s="10"/>
      <c r="M90" s="9"/>
      <c r="O90" s="8">
        <f>+'[1]RELACION COCIDA 2022'!$N$73</f>
        <v>0</v>
      </c>
    </row>
    <row r="91" spans="3:26" x14ac:dyDescent="0.25">
      <c r="J91" s="8"/>
      <c r="O91" s="8"/>
      <c r="Q91" s="8"/>
      <c r="R91" s="86">
        <f>15822056.4+4177135</f>
        <v>19999191.399999999</v>
      </c>
      <c r="V91" t="s">
        <v>83</v>
      </c>
      <c r="Y91" s="6" t="s">
        <v>77</v>
      </c>
    </row>
    <row r="92" spans="3:26" x14ac:dyDescent="0.25">
      <c r="J92" s="17"/>
      <c r="M92" s="8"/>
      <c r="N92" s="8"/>
      <c r="O92" s="4"/>
      <c r="P92" s="8"/>
      <c r="Q92" s="10"/>
      <c r="V92" s="67">
        <v>3028765</v>
      </c>
      <c r="X92" s="4"/>
      <c r="Y92" s="11" t="e">
        <f>+#REF!/13</f>
        <v>#REF!</v>
      </c>
      <c r="Z92" t="s">
        <v>76</v>
      </c>
    </row>
    <row r="93" spans="3:26" x14ac:dyDescent="0.25">
      <c r="J93" s="17"/>
      <c r="Q93" s="10"/>
      <c r="T93" s="8"/>
      <c r="U93" s="10"/>
      <c r="V93" s="11" t="e">
        <f>+Y101</f>
        <v>#REF!</v>
      </c>
      <c r="X93" t="s">
        <v>79</v>
      </c>
      <c r="Y93" s="11">
        <f>90000+30000</f>
        <v>120000</v>
      </c>
      <c r="Z93" t="s">
        <v>78</v>
      </c>
    </row>
    <row r="94" spans="3:26" x14ac:dyDescent="0.25">
      <c r="J94" s="17"/>
      <c r="K94" s="8"/>
      <c r="V94" s="8"/>
      <c r="X94" t="s">
        <v>80</v>
      </c>
      <c r="Y94" s="11">
        <v>1270</v>
      </c>
    </row>
    <row r="95" spans="3:26" ht="15.75" thickBot="1" x14ac:dyDescent="0.3">
      <c r="J95" s="24"/>
      <c r="V95" s="8"/>
      <c r="X95" t="s">
        <v>81</v>
      </c>
      <c r="Y95" s="11">
        <v>785.66666666666663</v>
      </c>
    </row>
    <row r="96" spans="3:26" x14ac:dyDescent="0.25">
      <c r="J96" s="17"/>
      <c r="K96" s="68" t="s">
        <v>84</v>
      </c>
      <c r="L96" s="69"/>
      <c r="M96" s="70"/>
      <c r="N96" s="69"/>
      <c r="O96" s="70"/>
      <c r="P96" s="69"/>
      <c r="Q96" s="70"/>
      <c r="X96" t="s">
        <v>82</v>
      </c>
      <c r="Y96" s="11">
        <f>350000/3</f>
        <v>116666.66666666667</v>
      </c>
    </row>
    <row r="97" spans="10:25" x14ac:dyDescent="0.25">
      <c r="J97" s="17"/>
      <c r="K97" s="71"/>
      <c r="L97" s="72" t="e">
        <f>+L84</f>
        <v>#DIV/0!</v>
      </c>
      <c r="M97" s="73" t="e">
        <f>+M84</f>
        <v>#DIV/0!</v>
      </c>
      <c r="N97" s="73">
        <f>+N84</f>
        <v>50.18</v>
      </c>
      <c r="O97" s="73" t="e">
        <f>+O84</f>
        <v>#DIV/0!</v>
      </c>
      <c r="P97" s="74" t="e">
        <f>+P84</f>
        <v>#DIV/0!</v>
      </c>
      <c r="Q97" s="75">
        <v>77.459999999999994</v>
      </c>
      <c r="Y97" s="66" t="e">
        <f>SUM(Y92:Y96)</f>
        <v>#REF!</v>
      </c>
    </row>
    <row r="98" spans="10:25" ht="15.75" thickBot="1" x14ac:dyDescent="0.3">
      <c r="J98" s="17"/>
      <c r="K98" s="76"/>
      <c r="L98" s="77" t="e">
        <f t="shared" ref="L98:Q98" si="9">+L96*L97</f>
        <v>#DIV/0!</v>
      </c>
      <c r="M98" s="77" t="e">
        <f t="shared" si="9"/>
        <v>#DIV/0!</v>
      </c>
      <c r="N98" s="77">
        <f t="shared" si="9"/>
        <v>0</v>
      </c>
      <c r="O98" s="77" t="e">
        <f t="shared" si="9"/>
        <v>#DIV/0!</v>
      </c>
      <c r="P98" s="77" t="e">
        <f t="shared" si="9"/>
        <v>#DIV/0!</v>
      </c>
      <c r="Q98" s="77">
        <f t="shared" si="9"/>
        <v>0</v>
      </c>
      <c r="V98" s="11">
        <v>3191205</v>
      </c>
      <c r="Y98" s="9">
        <v>152560</v>
      </c>
    </row>
    <row r="99" spans="10:25" ht="15.75" thickBot="1" x14ac:dyDescent="0.3">
      <c r="J99" s="17"/>
      <c r="K99" s="78"/>
      <c r="L99" s="78"/>
      <c r="M99" s="78"/>
      <c r="N99" s="78"/>
      <c r="O99" s="78"/>
      <c r="P99" s="78"/>
      <c r="Q99" s="78"/>
      <c r="Y99" s="9">
        <v>191651</v>
      </c>
    </row>
    <row r="100" spans="10:25" x14ac:dyDescent="0.25">
      <c r="J100" s="17"/>
      <c r="K100" s="78"/>
      <c r="L100" s="78"/>
      <c r="M100" s="78"/>
      <c r="N100" s="78"/>
      <c r="O100" s="68" t="s">
        <v>70</v>
      </c>
      <c r="P100" s="69">
        <v>16461</v>
      </c>
      <c r="Q100" s="70">
        <v>27224</v>
      </c>
      <c r="Y100" s="9">
        <v>285552</v>
      </c>
    </row>
    <row r="101" spans="10:25" x14ac:dyDescent="0.25">
      <c r="J101" s="17"/>
      <c r="K101" s="79"/>
      <c r="L101" s="78"/>
      <c r="M101" s="78"/>
      <c r="N101" s="78"/>
      <c r="O101" s="71"/>
      <c r="P101" s="74">
        <v>77.930000000000007</v>
      </c>
      <c r="Q101" s="75">
        <v>77.459999999999994</v>
      </c>
      <c r="Y101" s="32" t="e">
        <f>SUM(Y97:Y100)</f>
        <v>#REF!</v>
      </c>
    </row>
    <row r="102" spans="10:25" ht="15.75" thickBot="1" x14ac:dyDescent="0.3">
      <c r="J102" s="17"/>
      <c r="K102" s="78"/>
      <c r="L102" s="78"/>
      <c r="M102" s="78"/>
      <c r="N102" s="78"/>
      <c r="O102" s="76"/>
      <c r="P102" s="80">
        <f>+P100*P101</f>
        <v>1282805.7300000002</v>
      </c>
      <c r="Q102" s="80">
        <f>+Q100*Q101</f>
        <v>2108771.04</v>
      </c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2"/>
  <sheetViews>
    <sheetView topLeftCell="B1" zoomScale="125" zoomScaleNormal="125" workbookViewId="0">
      <selection activeCell="G6" sqref="G6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8.42578125" customWidth="1"/>
    <col min="7" max="7" width="15.42578125" customWidth="1"/>
    <col min="8" max="8" width="0.5703125" hidden="1" customWidth="1"/>
    <col min="9" max="9" width="17.140625" hidden="1" customWidth="1"/>
    <col min="10" max="10" width="13.5703125" hidden="1" customWidth="1"/>
    <col min="11" max="11" width="17.7109375" hidden="1" customWidth="1"/>
    <col min="12" max="12" width="16.85546875" hidden="1" customWidth="1"/>
    <col min="13" max="13" width="17.42578125" hidden="1" customWidth="1"/>
    <col min="14" max="14" width="16.85546875" hidden="1" customWidth="1"/>
    <col min="15" max="15" width="20.140625" customWidth="1"/>
    <col min="16" max="16" width="6.28515625" customWidth="1"/>
    <col min="17" max="17" width="18" customWidth="1"/>
    <col min="18" max="18" width="16.85546875" bestFit="1" customWidth="1"/>
    <col min="19" max="19" width="17.28515625" bestFit="1" customWidth="1"/>
  </cols>
  <sheetData>
    <row r="2" spans="2:16" ht="21.75" customHeight="1" thickBot="1" x14ac:dyDescent="0.3">
      <c r="J2" s="10"/>
      <c r="K2" s="4"/>
      <c r="L2" s="10"/>
      <c r="M2" s="10"/>
      <c r="N2" s="10"/>
      <c r="O2" s="10"/>
    </row>
    <row r="3" spans="2:16" ht="30" customHeight="1" thickBot="1" x14ac:dyDescent="0.3">
      <c r="C3" s="99" t="s">
        <v>101</v>
      </c>
      <c r="D3" s="100"/>
    </row>
    <row r="4" spans="2:16" ht="32.25" customHeight="1" thickBot="1" x14ac:dyDescent="0.3">
      <c r="C4" s="101" t="s">
        <v>0</v>
      </c>
      <c r="D4" s="102"/>
      <c r="F4" s="36" t="s">
        <v>49</v>
      </c>
      <c r="G4" s="36" t="s">
        <v>50</v>
      </c>
      <c r="H4" s="36" t="s">
        <v>50</v>
      </c>
      <c r="I4" s="36" t="s">
        <v>51</v>
      </c>
      <c r="J4" s="36" t="s">
        <v>52</v>
      </c>
      <c r="K4" s="25" t="s">
        <v>53</v>
      </c>
      <c r="L4" s="37" t="s">
        <v>67</v>
      </c>
      <c r="M4" s="37" t="s">
        <v>54</v>
      </c>
      <c r="N4" s="37" t="s">
        <v>74</v>
      </c>
      <c r="O4" s="36" t="s">
        <v>55</v>
      </c>
    </row>
    <row r="5" spans="2:16" ht="16.5" customHeight="1" thickBot="1" x14ac:dyDescent="0.3">
      <c r="C5" s="38" t="s">
        <v>1</v>
      </c>
      <c r="D5" s="54">
        <f>+O5</f>
        <v>256491</v>
      </c>
      <c r="F5" s="26">
        <f>70086+186405</f>
        <v>256491</v>
      </c>
      <c r="G5" s="26"/>
      <c r="H5" s="26"/>
      <c r="I5" s="26"/>
      <c r="J5" s="26"/>
      <c r="K5" s="26"/>
      <c r="L5" s="27"/>
      <c r="M5" s="27"/>
      <c r="N5" s="27"/>
      <c r="O5" s="1">
        <f t="shared" ref="O5:O36" si="0">SUM(F5:N5)</f>
        <v>256491</v>
      </c>
    </row>
    <row r="6" spans="2:16" x14ac:dyDescent="0.25">
      <c r="C6" s="39" t="s">
        <v>2</v>
      </c>
      <c r="D6" s="48"/>
      <c r="F6" s="29">
        <f t="shared" ref="F6" si="1">SUM(F5)</f>
        <v>256491</v>
      </c>
      <c r="G6" s="29"/>
      <c r="H6" s="29"/>
      <c r="I6" s="29"/>
      <c r="J6" s="29"/>
      <c r="K6" s="29"/>
      <c r="L6" s="29"/>
      <c r="M6" s="30"/>
      <c r="N6" s="30"/>
      <c r="O6" s="15">
        <f t="shared" si="0"/>
        <v>256491</v>
      </c>
      <c r="P6" s="18"/>
    </row>
    <row r="7" spans="2:16" ht="16.5" customHeight="1" x14ac:dyDescent="0.25">
      <c r="B7">
        <v>1</v>
      </c>
      <c r="C7" s="45" t="s">
        <v>3</v>
      </c>
      <c r="D7" s="49">
        <f>+O7</f>
        <v>362183</v>
      </c>
      <c r="F7" s="1">
        <v>362183</v>
      </c>
      <c r="G7" s="1"/>
      <c r="H7" s="1"/>
      <c r="I7" s="1"/>
      <c r="J7" s="1"/>
      <c r="K7" s="1"/>
      <c r="L7" s="14"/>
      <c r="M7" s="1"/>
      <c r="N7" s="1"/>
      <c r="O7" s="1">
        <f t="shared" si="0"/>
        <v>362183</v>
      </c>
    </row>
    <row r="8" spans="2:16" ht="14.25" customHeight="1" x14ac:dyDescent="0.25">
      <c r="B8">
        <v>2</v>
      </c>
      <c r="C8" s="46" t="s">
        <v>4</v>
      </c>
      <c r="D8" s="50">
        <f t="shared" ref="D8:D77" si="2">+O8</f>
        <v>46660</v>
      </c>
      <c r="F8" s="1">
        <v>46660</v>
      </c>
      <c r="G8" s="1"/>
      <c r="H8" s="1"/>
      <c r="I8" s="1"/>
      <c r="J8" s="1"/>
      <c r="K8" s="1"/>
      <c r="L8" s="14"/>
      <c r="M8" s="1"/>
      <c r="N8" s="14"/>
      <c r="O8" s="1">
        <f t="shared" si="0"/>
        <v>46660</v>
      </c>
    </row>
    <row r="9" spans="2:16" ht="15.75" customHeight="1" x14ac:dyDescent="0.25">
      <c r="B9">
        <v>3</v>
      </c>
      <c r="C9" s="45" t="s">
        <v>5</v>
      </c>
      <c r="D9" s="49">
        <f t="shared" si="2"/>
        <v>81624</v>
      </c>
      <c r="F9" s="1">
        <v>81624</v>
      </c>
      <c r="G9" s="1"/>
      <c r="H9" s="1"/>
      <c r="I9" s="1"/>
      <c r="J9" s="1"/>
      <c r="K9" s="1"/>
      <c r="L9" s="14"/>
      <c r="M9" s="1"/>
      <c r="N9" s="14"/>
      <c r="O9" s="1">
        <f t="shared" si="0"/>
        <v>81624</v>
      </c>
      <c r="P9" s="10"/>
    </row>
    <row r="10" spans="2:16" ht="13.5" customHeight="1" x14ac:dyDescent="0.25">
      <c r="B10">
        <v>4</v>
      </c>
      <c r="C10" s="46" t="s">
        <v>6</v>
      </c>
      <c r="D10" s="50">
        <f t="shared" si="2"/>
        <v>59005</v>
      </c>
      <c r="F10" s="1">
        <v>59005</v>
      </c>
      <c r="G10" s="1"/>
      <c r="H10" s="1"/>
      <c r="I10" s="1"/>
      <c r="J10" s="1"/>
      <c r="K10" s="1"/>
      <c r="L10" s="14"/>
      <c r="M10" s="1"/>
      <c r="N10" s="14"/>
      <c r="O10" s="1">
        <f t="shared" si="0"/>
        <v>59005</v>
      </c>
    </row>
    <row r="11" spans="2:16" ht="15" customHeight="1" x14ac:dyDescent="0.25">
      <c r="B11">
        <v>5</v>
      </c>
      <c r="C11" s="45" t="s">
        <v>7</v>
      </c>
      <c r="D11" s="49">
        <f t="shared" si="2"/>
        <v>64420</v>
      </c>
      <c r="F11" s="1">
        <v>64420</v>
      </c>
      <c r="G11" s="1"/>
      <c r="H11" s="1"/>
      <c r="I11" s="1"/>
      <c r="J11" s="1"/>
      <c r="K11" s="1"/>
      <c r="L11" s="14"/>
      <c r="M11" s="1"/>
      <c r="N11" s="14"/>
      <c r="O11" s="1">
        <f t="shared" si="0"/>
        <v>64420</v>
      </c>
    </row>
    <row r="12" spans="2:16" ht="15" customHeight="1" x14ac:dyDescent="0.25">
      <c r="B12">
        <v>6</v>
      </c>
      <c r="C12" s="46" t="s">
        <v>8</v>
      </c>
      <c r="D12" s="50">
        <f t="shared" si="2"/>
        <v>75367</v>
      </c>
      <c r="F12" s="1">
        <v>75367</v>
      </c>
      <c r="G12" s="1"/>
      <c r="H12" s="1"/>
      <c r="I12" s="1"/>
      <c r="J12" s="1"/>
      <c r="K12" s="1"/>
      <c r="L12" s="14"/>
      <c r="M12" s="1"/>
      <c r="N12" s="14"/>
      <c r="O12" s="1">
        <f t="shared" si="0"/>
        <v>75367</v>
      </c>
    </row>
    <row r="13" spans="2:16" ht="16.5" customHeight="1" x14ac:dyDescent="0.25">
      <c r="B13">
        <v>7</v>
      </c>
      <c r="C13" s="45" t="s">
        <v>9</v>
      </c>
      <c r="D13" s="49">
        <f t="shared" si="2"/>
        <v>50660</v>
      </c>
      <c r="F13" s="1">
        <v>50660</v>
      </c>
      <c r="G13" s="1"/>
      <c r="H13" s="1"/>
      <c r="I13" s="1"/>
      <c r="J13" s="1"/>
      <c r="K13" s="1"/>
      <c r="L13" s="14"/>
      <c r="M13" s="1"/>
      <c r="N13" s="14"/>
      <c r="O13" s="1">
        <f t="shared" si="0"/>
        <v>50660</v>
      </c>
    </row>
    <row r="14" spans="2:16" ht="13.5" customHeight="1" x14ac:dyDescent="0.25">
      <c r="B14">
        <v>8</v>
      </c>
      <c r="C14" s="46" t="s">
        <v>10</v>
      </c>
      <c r="D14" s="50">
        <f t="shared" si="2"/>
        <v>43986</v>
      </c>
      <c r="F14" s="1">
        <v>43986</v>
      </c>
      <c r="G14" s="1"/>
      <c r="H14" s="1"/>
      <c r="I14" s="1"/>
      <c r="J14" s="1"/>
      <c r="K14" s="1"/>
      <c r="L14" s="14"/>
      <c r="M14" s="1"/>
      <c r="N14" s="14"/>
      <c r="O14" s="1">
        <f t="shared" si="0"/>
        <v>43986</v>
      </c>
    </row>
    <row r="15" spans="2:16" ht="16.5" customHeight="1" x14ac:dyDescent="0.25">
      <c r="B15">
        <v>9</v>
      </c>
      <c r="C15" s="45" t="s">
        <v>96</v>
      </c>
      <c r="D15" s="49">
        <f>+O15</f>
        <v>19935</v>
      </c>
      <c r="F15" s="1">
        <v>19935</v>
      </c>
      <c r="G15" s="1"/>
      <c r="H15" s="1"/>
      <c r="I15" s="1"/>
      <c r="J15" s="1"/>
      <c r="K15" s="1"/>
      <c r="L15" s="87"/>
      <c r="M15" s="2"/>
      <c r="N15" s="87"/>
      <c r="O15" s="1">
        <f t="shared" si="0"/>
        <v>19935</v>
      </c>
    </row>
    <row r="16" spans="2:16" ht="14.25" customHeight="1" x14ac:dyDescent="0.25">
      <c r="B16">
        <v>10</v>
      </c>
      <c r="C16" s="40" t="s">
        <v>66</v>
      </c>
      <c r="D16" s="49">
        <f t="shared" si="2"/>
        <v>21350</v>
      </c>
      <c r="F16" s="1">
        <v>21350</v>
      </c>
      <c r="G16" s="1"/>
      <c r="H16" s="1"/>
      <c r="I16" s="1"/>
      <c r="J16" s="1"/>
      <c r="K16" s="1"/>
      <c r="L16" s="14"/>
      <c r="M16" s="1"/>
      <c r="N16" s="14"/>
      <c r="O16" s="1">
        <f t="shared" si="0"/>
        <v>21350</v>
      </c>
    </row>
    <row r="17" spans="2:16" x14ac:dyDescent="0.25">
      <c r="B17">
        <v>11</v>
      </c>
      <c r="C17" s="46" t="s">
        <v>89</v>
      </c>
      <c r="D17" s="50">
        <f t="shared" si="2"/>
        <v>104864</v>
      </c>
      <c r="F17" s="1">
        <v>104864</v>
      </c>
      <c r="G17" s="1"/>
      <c r="H17" s="1"/>
      <c r="I17" s="1"/>
      <c r="J17" s="1"/>
      <c r="K17" s="1"/>
      <c r="L17" s="14"/>
      <c r="M17" s="1"/>
      <c r="N17" s="14"/>
      <c r="O17" s="1">
        <f t="shared" si="0"/>
        <v>104864</v>
      </c>
    </row>
    <row r="18" spans="2:16" x14ac:dyDescent="0.25">
      <c r="B18">
        <v>12</v>
      </c>
      <c r="C18" s="45" t="s">
        <v>13</v>
      </c>
      <c r="D18" s="49">
        <f t="shared" si="2"/>
        <v>15509</v>
      </c>
      <c r="F18" s="1">
        <v>15509</v>
      </c>
      <c r="G18" s="1"/>
      <c r="H18" s="1"/>
      <c r="I18" s="1"/>
      <c r="J18" s="1"/>
      <c r="K18" s="1"/>
      <c r="L18" s="14"/>
      <c r="M18" s="1"/>
      <c r="N18" s="14"/>
      <c r="O18" s="1">
        <f t="shared" si="0"/>
        <v>15509</v>
      </c>
    </row>
    <row r="19" spans="2:16" ht="16.5" customHeight="1" x14ac:dyDescent="0.25">
      <c r="B19">
        <v>13</v>
      </c>
      <c r="C19" s="46" t="s">
        <v>11</v>
      </c>
      <c r="D19" s="50">
        <f t="shared" si="2"/>
        <v>17162</v>
      </c>
      <c r="F19" s="1">
        <v>17162</v>
      </c>
      <c r="G19" s="1"/>
      <c r="H19" s="1"/>
      <c r="I19" s="1"/>
      <c r="J19" s="1"/>
      <c r="K19" s="1"/>
      <c r="L19" s="14"/>
      <c r="M19" s="1"/>
      <c r="N19" s="14"/>
      <c r="O19" s="1">
        <f t="shared" si="0"/>
        <v>17162</v>
      </c>
    </row>
    <row r="20" spans="2:16" x14ac:dyDescent="0.25">
      <c r="B20">
        <v>14</v>
      </c>
      <c r="C20" s="45" t="s">
        <v>12</v>
      </c>
      <c r="D20" s="49">
        <f t="shared" si="2"/>
        <v>16032</v>
      </c>
      <c r="F20" s="1">
        <v>16032</v>
      </c>
      <c r="G20" s="1"/>
      <c r="H20" s="1"/>
      <c r="I20" s="1"/>
      <c r="J20" s="1"/>
      <c r="K20" s="1"/>
      <c r="L20" s="14"/>
      <c r="M20" s="1"/>
      <c r="N20" s="14"/>
      <c r="O20" s="1">
        <f t="shared" si="0"/>
        <v>16032</v>
      </c>
    </row>
    <row r="21" spans="2:16" x14ac:dyDescent="0.25">
      <c r="B21">
        <v>15</v>
      </c>
      <c r="C21" s="46" t="s">
        <v>14</v>
      </c>
      <c r="D21" s="50">
        <f t="shared" si="2"/>
        <v>11141</v>
      </c>
      <c r="F21" s="1">
        <v>11141</v>
      </c>
      <c r="G21" s="1"/>
      <c r="H21" s="1"/>
      <c r="I21" s="1"/>
      <c r="J21" s="1"/>
      <c r="K21" s="1"/>
      <c r="L21" s="14"/>
      <c r="M21" s="1"/>
      <c r="N21" s="14"/>
      <c r="O21" s="1">
        <f t="shared" si="0"/>
        <v>11141</v>
      </c>
    </row>
    <row r="22" spans="2:16" x14ac:dyDescent="0.25">
      <c r="B22">
        <v>16</v>
      </c>
      <c r="C22" s="45" t="s">
        <v>17</v>
      </c>
      <c r="D22" s="49">
        <f t="shared" si="2"/>
        <v>16945</v>
      </c>
      <c r="F22" s="1">
        <v>16945</v>
      </c>
      <c r="G22" s="1"/>
      <c r="H22" s="1"/>
      <c r="I22" s="1"/>
      <c r="J22" s="14"/>
      <c r="K22" s="1"/>
      <c r="L22" s="14"/>
      <c r="M22" s="1"/>
      <c r="N22" s="14"/>
      <c r="O22" s="1">
        <f t="shared" si="0"/>
        <v>16945</v>
      </c>
    </row>
    <row r="23" spans="2:16" ht="13.5" customHeight="1" x14ac:dyDescent="0.25">
      <c r="B23">
        <v>17</v>
      </c>
      <c r="C23" s="46" t="s">
        <v>63</v>
      </c>
      <c r="D23" s="50">
        <f t="shared" si="2"/>
        <v>29384</v>
      </c>
      <c r="F23" s="1">
        <v>29384</v>
      </c>
      <c r="G23" s="1"/>
      <c r="H23" s="1"/>
      <c r="I23" s="1"/>
      <c r="J23" s="14"/>
      <c r="K23" s="1"/>
      <c r="L23" s="14"/>
      <c r="M23" s="1"/>
      <c r="N23" s="14"/>
      <c r="O23" s="1">
        <f t="shared" si="0"/>
        <v>29384</v>
      </c>
    </row>
    <row r="24" spans="2:16" x14ac:dyDescent="0.25">
      <c r="B24">
        <v>18</v>
      </c>
      <c r="C24" s="45" t="s">
        <v>68</v>
      </c>
      <c r="D24" s="49">
        <f t="shared" si="2"/>
        <v>0</v>
      </c>
      <c r="F24" s="1"/>
      <c r="G24" s="1"/>
      <c r="H24" s="1"/>
      <c r="I24" s="1"/>
      <c r="J24" s="14"/>
      <c r="K24" s="1"/>
      <c r="L24" s="14"/>
      <c r="M24" s="1"/>
      <c r="N24" s="14"/>
      <c r="O24" s="1">
        <f t="shared" si="0"/>
        <v>0</v>
      </c>
    </row>
    <row r="25" spans="2:16" ht="14.25" customHeight="1" x14ac:dyDescent="0.25">
      <c r="B25">
        <v>19</v>
      </c>
      <c r="C25" s="46" t="s">
        <v>15</v>
      </c>
      <c r="D25" s="50">
        <f t="shared" si="2"/>
        <v>22012</v>
      </c>
      <c r="F25" s="1">
        <v>22012</v>
      </c>
      <c r="G25" s="1"/>
      <c r="H25" s="1"/>
      <c r="I25" s="1"/>
      <c r="J25" s="1"/>
      <c r="K25" s="1"/>
      <c r="L25" s="14"/>
      <c r="M25" s="1"/>
      <c r="N25" s="14"/>
      <c r="O25" s="1">
        <f t="shared" si="0"/>
        <v>22012</v>
      </c>
    </row>
    <row r="26" spans="2:16" ht="13.5" customHeight="1" x14ac:dyDescent="0.25">
      <c r="B26">
        <v>20</v>
      </c>
      <c r="C26" s="45" t="s">
        <v>16</v>
      </c>
      <c r="D26" s="49">
        <f t="shared" si="2"/>
        <v>23252</v>
      </c>
      <c r="F26" s="1">
        <v>23252</v>
      </c>
      <c r="G26" s="1"/>
      <c r="H26" s="1"/>
      <c r="I26" s="1"/>
      <c r="J26" s="1"/>
      <c r="K26" s="1"/>
      <c r="L26" s="14"/>
      <c r="M26" s="1"/>
      <c r="N26" s="14"/>
      <c r="O26" s="1">
        <f t="shared" si="0"/>
        <v>23252</v>
      </c>
    </row>
    <row r="27" spans="2:16" x14ac:dyDescent="0.25">
      <c r="B27">
        <v>21</v>
      </c>
      <c r="C27" s="46" t="s">
        <v>18</v>
      </c>
      <c r="D27" s="50">
        <f t="shared" si="2"/>
        <v>43667</v>
      </c>
      <c r="F27" s="1">
        <v>43667</v>
      </c>
      <c r="G27" s="1"/>
      <c r="H27" s="1"/>
      <c r="I27" s="1"/>
      <c r="J27" s="1"/>
      <c r="K27" s="1"/>
      <c r="L27" s="14"/>
      <c r="M27" s="1"/>
      <c r="N27" s="14"/>
      <c r="O27" s="1">
        <f t="shared" si="0"/>
        <v>43667</v>
      </c>
    </row>
    <row r="28" spans="2:16" ht="13.5" customHeight="1" x14ac:dyDescent="0.25">
      <c r="B28">
        <v>22</v>
      </c>
      <c r="C28" s="45" t="s">
        <v>85</v>
      </c>
      <c r="D28" s="49">
        <f>+O28</f>
        <v>20228</v>
      </c>
      <c r="F28" s="1">
        <v>20228</v>
      </c>
      <c r="G28" s="1"/>
      <c r="H28" s="1"/>
      <c r="I28" s="1"/>
      <c r="J28" s="1"/>
      <c r="K28" s="1"/>
      <c r="L28" s="14"/>
      <c r="M28" s="1"/>
      <c r="N28" s="14"/>
      <c r="O28" s="1">
        <f t="shared" si="0"/>
        <v>20228</v>
      </c>
    </row>
    <row r="29" spans="2:16" ht="15" customHeight="1" x14ac:dyDescent="0.25">
      <c r="B29">
        <v>23</v>
      </c>
      <c r="C29" s="45" t="s">
        <v>95</v>
      </c>
      <c r="D29" s="49">
        <f t="shared" ref="D29" si="3">+O29</f>
        <v>11435</v>
      </c>
      <c r="F29" s="1">
        <v>11435</v>
      </c>
      <c r="G29" s="1"/>
      <c r="H29" s="1"/>
      <c r="I29" s="1"/>
      <c r="J29" s="1"/>
      <c r="K29" s="1"/>
      <c r="L29" s="87"/>
      <c r="M29" s="2"/>
      <c r="N29" s="87"/>
      <c r="O29" s="1">
        <f t="shared" si="0"/>
        <v>11435</v>
      </c>
    </row>
    <row r="30" spans="2:16" ht="15" customHeight="1" x14ac:dyDescent="0.25">
      <c r="B30">
        <v>24</v>
      </c>
      <c r="C30" s="46" t="s">
        <v>19</v>
      </c>
      <c r="D30" s="50">
        <f t="shared" si="2"/>
        <v>31028</v>
      </c>
      <c r="F30" s="1">
        <v>31028</v>
      </c>
      <c r="G30" s="1"/>
      <c r="H30" s="1"/>
      <c r="I30" s="1"/>
      <c r="J30" s="1"/>
      <c r="K30" s="1"/>
      <c r="L30" s="14"/>
      <c r="M30" s="1"/>
      <c r="N30" s="14"/>
      <c r="O30" s="1">
        <f t="shared" si="0"/>
        <v>31028</v>
      </c>
    </row>
    <row r="31" spans="2:16" x14ac:dyDescent="0.25">
      <c r="B31">
        <v>25</v>
      </c>
      <c r="C31" s="45" t="s">
        <v>20</v>
      </c>
      <c r="D31" s="49">
        <f t="shared" si="2"/>
        <v>28143</v>
      </c>
      <c r="F31" s="1">
        <v>28143</v>
      </c>
      <c r="G31" s="1"/>
      <c r="H31" s="1"/>
      <c r="I31" s="1"/>
      <c r="J31" s="1"/>
      <c r="K31" s="1"/>
      <c r="L31" s="14"/>
      <c r="M31" s="1"/>
      <c r="N31" s="14"/>
      <c r="O31" s="1">
        <f t="shared" si="0"/>
        <v>28143</v>
      </c>
      <c r="P31" s="4"/>
    </row>
    <row r="32" spans="2:16" x14ac:dyDescent="0.25">
      <c r="B32">
        <v>26</v>
      </c>
      <c r="C32" s="45" t="s">
        <v>94</v>
      </c>
      <c r="D32" s="49">
        <f>+O32</f>
        <v>6736</v>
      </c>
      <c r="F32" s="1">
        <v>6736</v>
      </c>
      <c r="G32" s="1"/>
      <c r="H32" s="1"/>
      <c r="I32" s="1"/>
      <c r="J32" s="1"/>
      <c r="K32" s="1"/>
      <c r="L32" s="87"/>
      <c r="M32" s="2"/>
      <c r="N32" s="87"/>
      <c r="O32" s="1">
        <f t="shared" si="0"/>
        <v>6736</v>
      </c>
      <c r="P32" s="4"/>
    </row>
    <row r="33" spans="2:15" x14ac:dyDescent="0.25">
      <c r="B33">
        <v>27</v>
      </c>
      <c r="C33" s="46" t="s">
        <v>71</v>
      </c>
      <c r="D33" s="50">
        <f t="shared" si="2"/>
        <v>30200</v>
      </c>
      <c r="F33" s="1">
        <v>30200</v>
      </c>
      <c r="G33" s="1"/>
      <c r="H33" s="1"/>
      <c r="I33" s="1"/>
      <c r="J33" s="1"/>
      <c r="K33" s="1"/>
      <c r="L33" s="14"/>
      <c r="M33" s="1"/>
      <c r="N33" s="14"/>
      <c r="O33" s="1">
        <f t="shared" si="0"/>
        <v>30200</v>
      </c>
    </row>
    <row r="34" spans="2:15" x14ac:dyDescent="0.25">
      <c r="B34">
        <v>28</v>
      </c>
      <c r="C34" s="46" t="s">
        <v>100</v>
      </c>
      <c r="D34" s="50">
        <f t="shared" si="2"/>
        <v>4323</v>
      </c>
      <c r="F34" s="1">
        <v>4323</v>
      </c>
      <c r="G34" s="1"/>
      <c r="H34" s="1"/>
      <c r="I34" s="1"/>
      <c r="J34" s="1"/>
      <c r="K34" s="1"/>
      <c r="L34" s="14"/>
      <c r="M34" s="1"/>
      <c r="N34" s="14"/>
      <c r="O34" s="1">
        <f t="shared" si="0"/>
        <v>4323</v>
      </c>
    </row>
    <row r="35" spans="2:15" x14ac:dyDescent="0.25">
      <c r="B35">
        <v>29</v>
      </c>
      <c r="C35" s="45" t="s">
        <v>21</v>
      </c>
      <c r="D35" s="49">
        <f t="shared" si="2"/>
        <v>55997</v>
      </c>
      <c r="F35" s="1">
        <v>55997</v>
      </c>
      <c r="G35" s="1"/>
      <c r="H35" s="1"/>
      <c r="I35" s="1"/>
      <c r="J35" s="1"/>
      <c r="K35" s="1"/>
      <c r="L35" s="14"/>
      <c r="M35" s="1"/>
      <c r="N35" s="14"/>
      <c r="O35" s="1">
        <f t="shared" si="0"/>
        <v>55997</v>
      </c>
    </row>
    <row r="36" spans="2:15" x14ac:dyDescent="0.25">
      <c r="B36">
        <v>30</v>
      </c>
      <c r="C36" s="46" t="s">
        <v>72</v>
      </c>
      <c r="D36" s="50">
        <f t="shared" si="2"/>
        <v>6820</v>
      </c>
      <c r="F36" s="1">
        <v>6820</v>
      </c>
      <c r="G36" s="1"/>
      <c r="H36" s="1"/>
      <c r="I36" s="1"/>
      <c r="J36" s="1"/>
      <c r="K36" s="1"/>
      <c r="L36" s="14"/>
      <c r="M36" s="12"/>
      <c r="N36" s="14"/>
      <c r="O36" s="1">
        <f t="shared" si="0"/>
        <v>6820</v>
      </c>
    </row>
    <row r="37" spans="2:15" x14ac:dyDescent="0.25">
      <c r="B37">
        <v>31</v>
      </c>
      <c r="C37" s="45" t="s">
        <v>59</v>
      </c>
      <c r="D37" s="49">
        <f t="shared" si="2"/>
        <v>23300</v>
      </c>
      <c r="F37" s="1">
        <v>23300</v>
      </c>
      <c r="G37" s="1"/>
      <c r="H37" s="1"/>
      <c r="I37" s="1"/>
      <c r="J37" s="14"/>
      <c r="K37" s="1"/>
      <c r="L37" s="14"/>
      <c r="M37" s="1"/>
      <c r="N37" s="14"/>
      <c r="O37" s="1">
        <f t="shared" ref="O37:O68" si="4">SUM(F37:N37)</f>
        <v>23300</v>
      </c>
    </row>
    <row r="38" spans="2:15" x14ac:dyDescent="0.25">
      <c r="B38">
        <v>32</v>
      </c>
      <c r="C38" s="46" t="s">
        <v>61</v>
      </c>
      <c r="D38" s="50">
        <f t="shared" si="2"/>
        <v>16668</v>
      </c>
      <c r="F38" s="1">
        <v>16668</v>
      </c>
      <c r="G38" s="1"/>
      <c r="H38" s="1"/>
      <c r="I38" s="1"/>
      <c r="J38" s="1"/>
      <c r="K38" s="1"/>
      <c r="L38" s="14"/>
      <c r="M38" s="1"/>
      <c r="N38" s="14"/>
      <c r="O38" s="1">
        <f t="shared" si="4"/>
        <v>16668</v>
      </c>
    </row>
    <row r="39" spans="2:15" x14ac:dyDescent="0.25">
      <c r="B39">
        <v>33</v>
      </c>
      <c r="C39" s="46" t="s">
        <v>98</v>
      </c>
      <c r="D39" s="50">
        <f t="shared" si="2"/>
        <v>6490</v>
      </c>
      <c r="F39" s="1">
        <v>6490</v>
      </c>
      <c r="G39" s="1"/>
      <c r="H39" s="1"/>
      <c r="I39" s="1"/>
      <c r="J39" s="1"/>
      <c r="K39" s="1"/>
      <c r="L39" s="14"/>
      <c r="M39" s="1"/>
      <c r="N39" s="14"/>
      <c r="O39" s="1">
        <f t="shared" si="4"/>
        <v>6490</v>
      </c>
    </row>
    <row r="40" spans="2:15" x14ac:dyDescent="0.25">
      <c r="B40">
        <v>34</v>
      </c>
      <c r="C40" s="45" t="s">
        <v>43</v>
      </c>
      <c r="D40" s="49">
        <f t="shared" si="2"/>
        <v>21727</v>
      </c>
      <c r="F40" s="1">
        <v>21727</v>
      </c>
      <c r="G40" s="1"/>
      <c r="H40" s="1"/>
      <c r="I40" s="1"/>
      <c r="J40" s="1"/>
      <c r="K40" s="1"/>
      <c r="L40" s="14"/>
      <c r="M40" s="1"/>
      <c r="N40" s="14"/>
      <c r="O40" s="1">
        <f t="shared" si="4"/>
        <v>21727</v>
      </c>
    </row>
    <row r="41" spans="2:15" x14ac:dyDescent="0.25">
      <c r="B41">
        <v>35</v>
      </c>
      <c r="C41" s="45" t="s">
        <v>86</v>
      </c>
      <c r="D41" s="49">
        <f t="shared" si="2"/>
        <v>18517</v>
      </c>
      <c r="F41" s="1">
        <v>18517</v>
      </c>
      <c r="G41" s="1"/>
      <c r="H41" s="1"/>
      <c r="I41" s="1"/>
      <c r="J41" s="1"/>
      <c r="K41" s="1"/>
      <c r="L41" s="14"/>
      <c r="M41" s="1"/>
      <c r="N41" s="14"/>
      <c r="O41" s="1">
        <f t="shared" si="4"/>
        <v>18517</v>
      </c>
    </row>
    <row r="42" spans="2:15" ht="15.75" customHeight="1" x14ac:dyDescent="0.25">
      <c r="B42">
        <v>36</v>
      </c>
      <c r="C42" s="45" t="s">
        <v>90</v>
      </c>
      <c r="D42" s="49">
        <f>+O42</f>
        <v>25033</v>
      </c>
      <c r="F42" s="1">
        <v>25033</v>
      </c>
      <c r="G42" s="1"/>
      <c r="H42" s="1"/>
      <c r="I42" s="1"/>
      <c r="J42" s="1"/>
      <c r="K42" s="1"/>
      <c r="L42" s="87"/>
      <c r="M42" s="2"/>
      <c r="N42" s="87"/>
      <c r="O42" s="1">
        <f t="shared" si="4"/>
        <v>25033</v>
      </c>
    </row>
    <row r="43" spans="2:15" x14ac:dyDescent="0.25">
      <c r="B43">
        <v>37</v>
      </c>
      <c r="C43" s="45" t="s">
        <v>91</v>
      </c>
      <c r="D43" s="49">
        <f>+O43</f>
        <v>16870</v>
      </c>
      <c r="F43" s="1">
        <v>16870</v>
      </c>
      <c r="G43" s="1"/>
      <c r="H43" s="1"/>
      <c r="I43" s="1"/>
      <c r="J43" s="1"/>
      <c r="K43" s="1"/>
      <c r="L43" s="87"/>
      <c r="M43" s="2"/>
      <c r="N43" s="87"/>
      <c r="O43" s="1">
        <f t="shared" si="4"/>
        <v>16870</v>
      </c>
    </row>
    <row r="44" spans="2:15" ht="14.25" customHeight="1" x14ac:dyDescent="0.25">
      <c r="B44">
        <v>38</v>
      </c>
      <c r="C44" s="45" t="s">
        <v>92</v>
      </c>
      <c r="D44" s="49">
        <f>+O44</f>
        <v>14087</v>
      </c>
      <c r="F44" s="1">
        <v>14087</v>
      </c>
      <c r="G44" s="1"/>
      <c r="H44" s="1"/>
      <c r="I44" s="1"/>
      <c r="J44" s="1"/>
      <c r="K44" s="1"/>
      <c r="L44" s="87"/>
      <c r="M44" s="2"/>
      <c r="N44" s="87"/>
      <c r="O44" s="1">
        <f t="shared" si="4"/>
        <v>14087</v>
      </c>
    </row>
    <row r="45" spans="2:15" ht="14.25" customHeight="1" x14ac:dyDescent="0.25">
      <c r="B45">
        <v>39</v>
      </c>
      <c r="C45" s="45" t="s">
        <v>93</v>
      </c>
      <c r="D45" s="49">
        <f>+O45</f>
        <v>14833</v>
      </c>
      <c r="F45" s="1">
        <v>14833</v>
      </c>
      <c r="G45" s="1"/>
      <c r="H45" s="1"/>
      <c r="I45" s="1"/>
      <c r="J45" s="1"/>
      <c r="K45" s="1"/>
      <c r="L45" s="87"/>
      <c r="M45" s="2"/>
      <c r="N45" s="87"/>
      <c r="O45" s="1">
        <f t="shared" si="4"/>
        <v>14833</v>
      </c>
    </row>
    <row r="46" spans="2:15" x14ac:dyDescent="0.25">
      <c r="B46">
        <v>40</v>
      </c>
      <c r="C46" s="46" t="s">
        <v>22</v>
      </c>
      <c r="D46" s="50">
        <f t="shared" si="2"/>
        <v>37992</v>
      </c>
      <c r="F46" s="1">
        <v>37992</v>
      </c>
      <c r="G46" s="1"/>
      <c r="H46" s="1"/>
      <c r="I46" s="1"/>
      <c r="J46" s="1"/>
      <c r="K46" s="1"/>
      <c r="L46" s="14"/>
      <c r="M46" s="1"/>
      <c r="N46" s="14"/>
      <c r="O46" s="1">
        <f t="shared" si="4"/>
        <v>37992</v>
      </c>
    </row>
    <row r="47" spans="2:15" x14ac:dyDescent="0.25">
      <c r="B47">
        <v>41</v>
      </c>
      <c r="C47" s="45" t="s">
        <v>73</v>
      </c>
      <c r="D47" s="49">
        <f t="shared" si="2"/>
        <v>6869</v>
      </c>
      <c r="E47" s="10"/>
      <c r="F47" s="1">
        <v>6869</v>
      </c>
      <c r="G47" s="1"/>
      <c r="H47" s="1"/>
      <c r="I47" s="1"/>
      <c r="J47" s="1"/>
      <c r="K47" s="1"/>
      <c r="L47" s="14"/>
      <c r="M47" s="1"/>
      <c r="N47" s="14"/>
      <c r="O47" s="1">
        <f t="shared" si="4"/>
        <v>6869</v>
      </c>
    </row>
    <row r="48" spans="2:15" ht="13.5" customHeight="1" x14ac:dyDescent="0.25">
      <c r="B48">
        <v>42</v>
      </c>
      <c r="C48" s="46" t="s">
        <v>62</v>
      </c>
      <c r="D48" s="50">
        <f t="shared" si="2"/>
        <v>5241</v>
      </c>
      <c r="F48" s="1">
        <v>5241</v>
      </c>
      <c r="G48" s="1"/>
      <c r="H48" s="1"/>
      <c r="I48" s="1"/>
      <c r="J48" s="1"/>
      <c r="K48" s="1"/>
      <c r="L48" s="14"/>
      <c r="M48" s="1"/>
      <c r="N48" s="14"/>
      <c r="O48" s="1">
        <f t="shared" si="4"/>
        <v>5241</v>
      </c>
    </row>
    <row r="49" spans="2:15" x14ac:dyDescent="0.25">
      <c r="B49">
        <v>43</v>
      </c>
      <c r="C49" s="45" t="s">
        <v>24</v>
      </c>
      <c r="D49" s="49">
        <f t="shared" si="2"/>
        <v>6500</v>
      </c>
      <c r="F49" s="1">
        <v>6500</v>
      </c>
      <c r="G49" s="1"/>
      <c r="H49" s="1"/>
      <c r="I49" s="1"/>
      <c r="J49" s="1"/>
      <c r="K49" s="1"/>
      <c r="L49" s="14"/>
      <c r="M49" s="1"/>
      <c r="N49" s="14"/>
      <c r="O49" s="1">
        <f t="shared" si="4"/>
        <v>6500</v>
      </c>
    </row>
    <row r="50" spans="2:15" ht="14.25" customHeight="1" x14ac:dyDescent="0.25">
      <c r="B50">
        <v>44</v>
      </c>
      <c r="C50" s="46" t="s">
        <v>60</v>
      </c>
      <c r="D50" s="50">
        <f t="shared" si="2"/>
        <v>5295</v>
      </c>
      <c r="F50" s="1">
        <v>5295</v>
      </c>
      <c r="G50" s="1"/>
      <c r="H50" s="1"/>
      <c r="I50" s="1"/>
      <c r="J50" s="1"/>
      <c r="K50" s="1"/>
      <c r="L50" s="14"/>
      <c r="M50" s="1"/>
      <c r="N50" s="14"/>
      <c r="O50" s="1">
        <f t="shared" si="4"/>
        <v>5295</v>
      </c>
    </row>
    <row r="51" spans="2:15" x14ac:dyDescent="0.25">
      <c r="B51">
        <v>45</v>
      </c>
      <c r="C51" s="45" t="s">
        <v>23</v>
      </c>
      <c r="D51" s="49">
        <f t="shared" si="2"/>
        <v>19617</v>
      </c>
      <c r="F51" s="1">
        <v>19617</v>
      </c>
      <c r="G51" s="1"/>
      <c r="H51" s="1"/>
      <c r="I51" s="1"/>
      <c r="J51" s="1"/>
      <c r="K51" s="1"/>
      <c r="L51" s="14"/>
      <c r="M51" s="1"/>
      <c r="N51" s="14"/>
      <c r="O51" s="1">
        <f t="shared" si="4"/>
        <v>19617</v>
      </c>
    </row>
    <row r="52" spans="2:15" ht="15.75" x14ac:dyDescent="0.25">
      <c r="B52">
        <v>46</v>
      </c>
      <c r="C52" s="47" t="s">
        <v>57</v>
      </c>
      <c r="D52" s="50">
        <f t="shared" si="2"/>
        <v>30990</v>
      </c>
      <c r="F52" s="1">
        <v>30990</v>
      </c>
      <c r="G52" s="1"/>
      <c r="H52" s="1"/>
      <c r="I52" s="1"/>
      <c r="J52" s="1"/>
      <c r="K52" s="1"/>
      <c r="L52" s="14"/>
      <c r="M52" s="1"/>
      <c r="N52" s="14"/>
      <c r="O52" s="1">
        <f t="shared" si="4"/>
        <v>30990</v>
      </c>
    </row>
    <row r="53" spans="2:15" x14ac:dyDescent="0.25">
      <c r="B53">
        <v>47</v>
      </c>
      <c r="C53" s="45" t="s">
        <v>25</v>
      </c>
      <c r="D53" s="49">
        <f t="shared" si="2"/>
        <v>33359</v>
      </c>
      <c r="F53" s="1">
        <v>33359</v>
      </c>
      <c r="G53" s="1"/>
      <c r="H53" s="1"/>
      <c r="I53" s="1"/>
      <c r="J53" s="1"/>
      <c r="K53" s="1"/>
      <c r="L53" s="14"/>
      <c r="M53" s="1"/>
      <c r="N53" s="14"/>
      <c r="O53" s="1">
        <f t="shared" si="4"/>
        <v>33359</v>
      </c>
    </row>
    <row r="54" spans="2:15" x14ac:dyDescent="0.25">
      <c r="B54">
        <v>48</v>
      </c>
      <c r="C54" s="46" t="s">
        <v>26</v>
      </c>
      <c r="D54" s="50">
        <f t="shared" si="2"/>
        <v>15376</v>
      </c>
      <c r="F54" s="1">
        <v>15376</v>
      </c>
      <c r="G54" s="1"/>
      <c r="H54" s="1"/>
      <c r="I54" s="1"/>
      <c r="J54" s="1"/>
      <c r="K54" s="1"/>
      <c r="L54" s="14"/>
      <c r="M54" s="1"/>
      <c r="N54" s="14"/>
      <c r="O54" s="1">
        <f t="shared" si="4"/>
        <v>15376</v>
      </c>
    </row>
    <row r="55" spans="2:15" x14ac:dyDescent="0.25">
      <c r="B55">
        <v>49</v>
      </c>
      <c r="C55" s="46" t="s">
        <v>99</v>
      </c>
      <c r="D55" s="50">
        <f t="shared" si="2"/>
        <v>7210</v>
      </c>
      <c r="F55" s="1">
        <v>7210</v>
      </c>
      <c r="G55" s="1"/>
      <c r="H55" s="1"/>
      <c r="I55" s="1"/>
      <c r="J55" s="1"/>
      <c r="K55" s="1"/>
      <c r="L55" s="14"/>
      <c r="M55" s="1"/>
      <c r="N55" s="14"/>
      <c r="O55" s="1">
        <f t="shared" si="4"/>
        <v>7210</v>
      </c>
    </row>
    <row r="56" spans="2:15" x14ac:dyDescent="0.25">
      <c r="B56">
        <v>50</v>
      </c>
      <c r="C56" s="45" t="s">
        <v>34</v>
      </c>
      <c r="D56" s="49">
        <f t="shared" si="2"/>
        <v>17155</v>
      </c>
      <c r="F56" s="1">
        <v>17155</v>
      </c>
      <c r="G56" s="1"/>
      <c r="H56" s="1"/>
      <c r="I56" s="1"/>
      <c r="J56" s="1"/>
      <c r="K56" s="1"/>
      <c r="L56" s="14"/>
      <c r="M56" s="1"/>
      <c r="N56" s="14"/>
      <c r="O56" s="1">
        <f t="shared" si="4"/>
        <v>17155</v>
      </c>
    </row>
    <row r="57" spans="2:15" ht="15" customHeight="1" x14ac:dyDescent="0.25">
      <c r="B57">
        <v>51</v>
      </c>
      <c r="C57" s="46" t="s">
        <v>42</v>
      </c>
      <c r="D57" s="50">
        <f t="shared" si="2"/>
        <v>18839</v>
      </c>
      <c r="F57" s="1">
        <v>18839</v>
      </c>
      <c r="G57" s="1"/>
      <c r="H57" s="1"/>
      <c r="I57" s="1"/>
      <c r="J57" s="1"/>
      <c r="K57" s="1"/>
      <c r="L57" s="14"/>
      <c r="M57" s="1"/>
      <c r="N57" s="14"/>
      <c r="O57" s="1">
        <f t="shared" si="4"/>
        <v>18839</v>
      </c>
    </row>
    <row r="58" spans="2:15" ht="15" customHeight="1" x14ac:dyDescent="0.25">
      <c r="B58">
        <v>52</v>
      </c>
      <c r="C58" s="45" t="s">
        <v>58</v>
      </c>
      <c r="D58" s="49">
        <f t="shared" si="2"/>
        <v>28490</v>
      </c>
      <c r="F58" s="1">
        <v>28490</v>
      </c>
      <c r="G58" s="1"/>
      <c r="H58" s="1"/>
      <c r="I58" s="1"/>
      <c r="J58" s="1"/>
      <c r="K58" s="1"/>
      <c r="L58" s="14"/>
      <c r="M58" s="1"/>
      <c r="N58" s="14"/>
      <c r="O58" s="1">
        <f t="shared" si="4"/>
        <v>28490</v>
      </c>
    </row>
    <row r="59" spans="2:15" x14ac:dyDescent="0.25">
      <c r="B59">
        <v>53</v>
      </c>
      <c r="C59" s="46" t="s">
        <v>40</v>
      </c>
      <c r="D59" s="50">
        <f t="shared" si="2"/>
        <v>11173</v>
      </c>
      <c r="F59" s="1">
        <v>11173</v>
      </c>
      <c r="G59" s="1"/>
      <c r="H59" s="1"/>
      <c r="I59" s="1"/>
      <c r="J59" s="1"/>
      <c r="K59" s="1"/>
      <c r="L59" s="14"/>
      <c r="M59" s="1"/>
      <c r="N59" s="14"/>
      <c r="O59" s="1">
        <f t="shared" si="4"/>
        <v>11173</v>
      </c>
    </row>
    <row r="60" spans="2:15" ht="13.5" customHeight="1" x14ac:dyDescent="0.25">
      <c r="B60">
        <v>54</v>
      </c>
      <c r="C60" s="45" t="s">
        <v>29</v>
      </c>
      <c r="D60" s="49">
        <f t="shared" si="2"/>
        <v>28520</v>
      </c>
      <c r="F60" s="1">
        <v>28520</v>
      </c>
      <c r="G60" s="1"/>
      <c r="H60" s="1"/>
      <c r="I60" s="1"/>
      <c r="J60" s="1"/>
      <c r="K60" s="1"/>
      <c r="L60" s="14"/>
      <c r="M60" s="1"/>
      <c r="N60" s="14"/>
      <c r="O60" s="1">
        <f t="shared" si="4"/>
        <v>28520</v>
      </c>
    </row>
    <row r="61" spans="2:15" ht="14.25" customHeight="1" x14ac:dyDescent="0.25">
      <c r="B61">
        <v>55</v>
      </c>
      <c r="C61" s="46" t="s">
        <v>27</v>
      </c>
      <c r="D61" s="50">
        <f t="shared" si="2"/>
        <v>27569</v>
      </c>
      <c r="F61" s="1">
        <v>27569</v>
      </c>
      <c r="G61" s="1"/>
      <c r="H61" s="1"/>
      <c r="I61" s="1"/>
      <c r="J61" s="1"/>
      <c r="K61" s="1"/>
      <c r="L61" s="14"/>
      <c r="M61" s="1"/>
      <c r="N61" s="14"/>
      <c r="O61" s="1">
        <f t="shared" si="4"/>
        <v>27569</v>
      </c>
    </row>
    <row r="62" spans="2:15" x14ac:dyDescent="0.25">
      <c r="B62">
        <v>56</v>
      </c>
      <c r="C62" s="45" t="s">
        <v>33</v>
      </c>
      <c r="D62" s="49">
        <f t="shared" si="2"/>
        <v>21928</v>
      </c>
      <c r="F62" s="1">
        <v>21928</v>
      </c>
      <c r="G62" s="1"/>
      <c r="H62" s="1"/>
      <c r="I62" s="1"/>
      <c r="J62" s="1"/>
      <c r="K62" s="1"/>
      <c r="L62" s="14"/>
      <c r="M62" s="1"/>
      <c r="N62" s="14"/>
      <c r="O62" s="1">
        <f t="shared" si="4"/>
        <v>21928</v>
      </c>
    </row>
    <row r="63" spans="2:15" ht="15" customHeight="1" x14ac:dyDescent="0.25">
      <c r="B63">
        <v>57</v>
      </c>
      <c r="C63" s="46" t="s">
        <v>28</v>
      </c>
      <c r="D63" s="50">
        <f t="shared" si="2"/>
        <v>23266</v>
      </c>
      <c r="F63" s="1">
        <v>23266</v>
      </c>
      <c r="G63" s="1"/>
      <c r="H63" s="1"/>
      <c r="I63" s="1"/>
      <c r="J63" s="1"/>
      <c r="K63" s="1"/>
      <c r="L63" s="14"/>
      <c r="M63" s="1"/>
      <c r="N63" s="14"/>
      <c r="O63" s="1">
        <f t="shared" si="4"/>
        <v>23266</v>
      </c>
    </row>
    <row r="64" spans="2:15" ht="15.75" customHeight="1" x14ac:dyDescent="0.25">
      <c r="B64">
        <v>58</v>
      </c>
      <c r="C64" s="45" t="s">
        <v>37</v>
      </c>
      <c r="D64" s="49">
        <f t="shared" si="2"/>
        <v>38612</v>
      </c>
      <c r="F64" s="1">
        <v>38612</v>
      </c>
      <c r="G64" s="1"/>
      <c r="H64" s="1"/>
      <c r="I64" s="1"/>
      <c r="J64" s="1"/>
      <c r="K64" s="1"/>
      <c r="L64" s="14"/>
      <c r="M64" s="1"/>
      <c r="N64" s="14"/>
      <c r="O64" s="1">
        <f t="shared" si="4"/>
        <v>38612</v>
      </c>
    </row>
    <row r="65" spans="2:17" ht="16.5" customHeight="1" x14ac:dyDescent="0.25">
      <c r="B65">
        <v>59</v>
      </c>
      <c r="C65" s="45" t="s">
        <v>97</v>
      </c>
      <c r="D65" s="49">
        <f>O65</f>
        <v>12900</v>
      </c>
      <c r="F65" s="1">
        <v>12900</v>
      </c>
      <c r="G65" s="1"/>
      <c r="H65" s="1"/>
      <c r="I65" s="1"/>
      <c r="J65" s="1"/>
      <c r="K65" s="1"/>
      <c r="L65" s="14"/>
      <c r="M65" s="1"/>
      <c r="N65" s="14"/>
      <c r="O65" s="1">
        <f t="shared" si="4"/>
        <v>12900</v>
      </c>
    </row>
    <row r="66" spans="2:17" ht="12.75" customHeight="1" x14ac:dyDescent="0.25">
      <c r="B66">
        <v>60</v>
      </c>
      <c r="C66" s="46" t="s">
        <v>39</v>
      </c>
      <c r="D66" s="50">
        <f t="shared" si="2"/>
        <v>33145</v>
      </c>
      <c r="F66" s="1">
        <v>33145</v>
      </c>
      <c r="G66" s="1"/>
      <c r="H66" s="1"/>
      <c r="I66" s="1"/>
      <c r="J66" s="1"/>
      <c r="K66" s="1"/>
      <c r="L66" s="14"/>
      <c r="M66" s="1"/>
      <c r="N66" s="14"/>
      <c r="O66" s="1">
        <f t="shared" si="4"/>
        <v>33145</v>
      </c>
    </row>
    <row r="67" spans="2:17" ht="15" customHeight="1" x14ac:dyDescent="0.25">
      <c r="B67">
        <v>61</v>
      </c>
      <c r="C67" s="45" t="s">
        <v>70</v>
      </c>
      <c r="D67" s="49">
        <f t="shared" si="2"/>
        <v>30370</v>
      </c>
      <c r="F67" s="1">
        <v>30370</v>
      </c>
      <c r="G67" s="1"/>
      <c r="H67" s="1"/>
      <c r="I67" s="1"/>
      <c r="J67" s="1"/>
      <c r="K67" s="1"/>
      <c r="L67" s="14"/>
      <c r="M67" s="1"/>
      <c r="N67" s="14"/>
      <c r="O67" s="1">
        <f t="shared" si="4"/>
        <v>30370</v>
      </c>
    </row>
    <row r="68" spans="2:17" ht="12.75" customHeight="1" x14ac:dyDescent="0.25">
      <c r="B68">
        <v>62</v>
      </c>
      <c r="C68" s="46" t="s">
        <v>30</v>
      </c>
      <c r="D68" s="50">
        <f t="shared" si="2"/>
        <v>27240</v>
      </c>
      <c r="F68" s="1">
        <v>27240</v>
      </c>
      <c r="G68" s="1"/>
      <c r="H68" s="1"/>
      <c r="I68" s="1"/>
      <c r="J68" s="1"/>
      <c r="K68" s="1"/>
      <c r="L68" s="14"/>
      <c r="M68" s="1"/>
      <c r="N68" s="14"/>
      <c r="O68" s="1">
        <f t="shared" si="4"/>
        <v>27240</v>
      </c>
      <c r="Q68" s="10"/>
    </row>
    <row r="69" spans="2:17" ht="13.5" customHeight="1" x14ac:dyDescent="0.25">
      <c r="B69">
        <v>63</v>
      </c>
      <c r="C69" s="45" t="s">
        <v>31</v>
      </c>
      <c r="D69" s="49">
        <f t="shared" si="2"/>
        <v>16392</v>
      </c>
      <c r="F69" s="1">
        <v>16392</v>
      </c>
      <c r="G69" s="1"/>
      <c r="H69" s="1"/>
      <c r="I69" s="1"/>
      <c r="J69" s="1"/>
      <c r="K69" s="1"/>
      <c r="L69" s="14"/>
      <c r="M69" s="1"/>
      <c r="N69" s="14"/>
      <c r="O69" s="1">
        <f t="shared" ref="O69:O77" si="5">SUM(F69:N69)</f>
        <v>16392</v>
      </c>
      <c r="Q69" s="4"/>
    </row>
    <row r="70" spans="2:17" x14ac:dyDescent="0.25">
      <c r="B70">
        <v>64</v>
      </c>
      <c r="C70" s="41" t="s">
        <v>32</v>
      </c>
      <c r="D70" s="50">
        <f t="shared" si="2"/>
        <v>30471</v>
      </c>
      <c r="F70" s="1">
        <v>30471</v>
      </c>
      <c r="G70" s="1"/>
      <c r="H70" s="1"/>
      <c r="I70" s="1"/>
      <c r="J70" s="1"/>
      <c r="K70" s="1"/>
      <c r="L70" s="14"/>
      <c r="M70" s="1"/>
      <c r="N70" s="14"/>
      <c r="O70" s="1">
        <f t="shared" si="5"/>
        <v>30471</v>
      </c>
    </row>
    <row r="71" spans="2:17" x14ac:dyDescent="0.25">
      <c r="B71">
        <v>65</v>
      </c>
      <c r="C71" s="45" t="s">
        <v>75</v>
      </c>
      <c r="D71" s="49">
        <f t="shared" si="2"/>
        <v>23689</v>
      </c>
      <c r="F71" s="1">
        <v>23689</v>
      </c>
      <c r="G71" s="1"/>
      <c r="H71" s="1"/>
      <c r="I71" s="1"/>
      <c r="J71" s="1"/>
      <c r="K71" s="1"/>
      <c r="L71" s="14"/>
      <c r="M71" s="1"/>
      <c r="N71" s="14"/>
      <c r="O71" s="1">
        <f t="shared" si="5"/>
        <v>23689</v>
      </c>
    </row>
    <row r="72" spans="2:17" x14ac:dyDescent="0.25">
      <c r="B72">
        <v>66</v>
      </c>
      <c r="C72" s="46" t="s">
        <v>38</v>
      </c>
      <c r="D72" s="50">
        <f t="shared" si="2"/>
        <v>30275</v>
      </c>
      <c r="F72" s="1">
        <v>30275</v>
      </c>
      <c r="G72" s="1"/>
      <c r="H72" s="1"/>
      <c r="I72" s="1"/>
      <c r="J72" s="1"/>
      <c r="K72" s="1"/>
      <c r="L72" s="14"/>
      <c r="M72" s="1"/>
      <c r="N72" s="14"/>
      <c r="O72" s="1">
        <f t="shared" si="5"/>
        <v>30275</v>
      </c>
    </row>
    <row r="73" spans="2:17" x14ac:dyDescent="0.25">
      <c r="B73">
        <v>67</v>
      </c>
      <c r="C73" s="45" t="s">
        <v>35</v>
      </c>
      <c r="D73" s="49">
        <f t="shared" si="2"/>
        <v>10890</v>
      </c>
      <c r="F73" s="1">
        <v>10890</v>
      </c>
      <c r="G73" s="1"/>
      <c r="H73" s="1"/>
      <c r="I73" s="1"/>
      <c r="J73" s="1"/>
      <c r="K73" s="1"/>
      <c r="L73" s="14"/>
      <c r="M73" s="1"/>
      <c r="N73" s="14"/>
      <c r="O73" s="1">
        <f t="shared" si="5"/>
        <v>10890</v>
      </c>
    </row>
    <row r="74" spans="2:17" x14ac:dyDescent="0.25">
      <c r="B74">
        <v>68</v>
      </c>
      <c r="C74" s="46" t="s">
        <v>65</v>
      </c>
      <c r="D74" s="50">
        <f t="shared" si="2"/>
        <v>21627</v>
      </c>
      <c r="F74" s="1">
        <v>21627</v>
      </c>
      <c r="G74" s="1"/>
      <c r="H74" s="1"/>
      <c r="I74" s="1"/>
      <c r="J74" s="1"/>
      <c r="K74" s="1"/>
      <c r="L74" s="14"/>
      <c r="M74" s="1"/>
      <c r="N74" s="14"/>
      <c r="O74" s="1">
        <f t="shared" si="5"/>
        <v>21627</v>
      </c>
    </row>
    <row r="75" spans="2:17" x14ac:dyDescent="0.25">
      <c r="B75">
        <v>69</v>
      </c>
      <c r="C75" s="45" t="s">
        <v>36</v>
      </c>
      <c r="D75" s="49">
        <f t="shared" si="2"/>
        <v>30778</v>
      </c>
      <c r="F75" s="1">
        <v>30778</v>
      </c>
      <c r="G75" s="1"/>
      <c r="H75" s="1"/>
      <c r="I75" s="1"/>
      <c r="J75" s="1"/>
      <c r="K75" s="1"/>
      <c r="L75" s="14"/>
      <c r="M75" s="1"/>
      <c r="N75" s="14"/>
      <c r="O75" s="1">
        <f t="shared" si="5"/>
        <v>30778</v>
      </c>
    </row>
    <row r="76" spans="2:17" x14ac:dyDescent="0.25">
      <c r="B76">
        <v>70</v>
      </c>
      <c r="C76" s="46" t="s">
        <v>69</v>
      </c>
      <c r="D76" s="50">
        <f t="shared" si="2"/>
        <v>25645</v>
      </c>
      <c r="F76" s="1">
        <v>25645</v>
      </c>
      <c r="G76" s="1"/>
      <c r="H76" s="1"/>
      <c r="I76" s="1"/>
      <c r="J76" s="1"/>
      <c r="K76" s="1"/>
      <c r="L76" s="14"/>
      <c r="M76" s="1"/>
      <c r="N76" s="14"/>
      <c r="O76" s="1">
        <f t="shared" si="5"/>
        <v>25645</v>
      </c>
    </row>
    <row r="77" spans="2:17" x14ac:dyDescent="0.25">
      <c r="B77">
        <v>71</v>
      </c>
      <c r="C77" s="45" t="s">
        <v>41</v>
      </c>
      <c r="D77" s="49">
        <f t="shared" si="2"/>
        <v>23615</v>
      </c>
      <c r="F77" s="1">
        <v>23615</v>
      </c>
      <c r="G77" s="1"/>
      <c r="H77" s="1"/>
      <c r="I77" s="1"/>
      <c r="J77" s="1"/>
      <c r="K77" s="1"/>
      <c r="L77" s="14"/>
      <c r="M77" s="1"/>
      <c r="N77" s="14"/>
      <c r="O77" s="1">
        <f t="shared" si="5"/>
        <v>23615</v>
      </c>
    </row>
    <row r="78" spans="2:17" ht="0.75" customHeight="1" x14ac:dyDescent="0.25">
      <c r="B78">
        <v>72</v>
      </c>
      <c r="C78" s="45"/>
      <c r="D78" s="49"/>
      <c r="F78" s="1"/>
      <c r="G78" s="1"/>
      <c r="H78" s="1"/>
      <c r="I78" s="1"/>
      <c r="J78" s="1"/>
      <c r="K78" s="1"/>
      <c r="L78" s="87"/>
      <c r="M78" s="2"/>
      <c r="N78" s="87"/>
      <c r="O78" s="1"/>
    </row>
    <row r="79" spans="2:17" x14ac:dyDescent="0.25">
      <c r="C79" s="45"/>
      <c r="D79" s="49"/>
      <c r="F79" s="1"/>
      <c r="G79" s="1"/>
      <c r="H79" s="1"/>
      <c r="I79" s="1"/>
      <c r="J79" s="1"/>
      <c r="K79" s="1"/>
      <c r="L79" s="87"/>
      <c r="M79" s="2"/>
      <c r="N79" s="87"/>
      <c r="O79" s="1"/>
    </row>
    <row r="80" spans="2:17" ht="15.75" customHeight="1" x14ac:dyDescent="0.25">
      <c r="C80" s="41" t="s">
        <v>44</v>
      </c>
      <c r="D80" s="50">
        <f>SUM(D7:D79)</f>
        <v>2178631</v>
      </c>
      <c r="F80" s="1"/>
      <c r="G80" s="1"/>
      <c r="H80" s="1"/>
      <c r="I80" s="1"/>
      <c r="J80" s="1"/>
      <c r="K80" s="1"/>
      <c r="L80" s="2"/>
      <c r="M80" s="2"/>
      <c r="N80" s="2"/>
      <c r="O80" s="1"/>
    </row>
    <row r="81" spans="3:23" ht="15.75" thickBot="1" x14ac:dyDescent="0.3">
      <c r="C81" s="42" t="s">
        <v>45</v>
      </c>
      <c r="D81" s="51">
        <f>D80+D5</f>
        <v>2435122</v>
      </c>
      <c r="F81" s="15">
        <f t="shared" ref="F81:O81" si="6">SUM(F7:F80)</f>
        <v>2178631</v>
      </c>
      <c r="G81" s="15">
        <f t="shared" si="6"/>
        <v>0</v>
      </c>
      <c r="H81" s="15">
        <f t="shared" si="6"/>
        <v>0</v>
      </c>
      <c r="I81" s="15">
        <f t="shared" si="6"/>
        <v>0</v>
      </c>
      <c r="J81" s="15">
        <f t="shared" si="6"/>
        <v>0</v>
      </c>
      <c r="K81" s="15">
        <f t="shared" si="6"/>
        <v>0</v>
      </c>
      <c r="L81" s="16">
        <f t="shared" si="6"/>
        <v>0</v>
      </c>
      <c r="M81" s="16">
        <f t="shared" si="6"/>
        <v>0</v>
      </c>
      <c r="N81" s="16">
        <f t="shared" si="6"/>
        <v>0</v>
      </c>
      <c r="O81" s="15">
        <f t="shared" si="6"/>
        <v>2178631</v>
      </c>
      <c r="P81" s="10"/>
    </row>
    <row r="82" spans="3:23" x14ac:dyDescent="0.25">
      <c r="C82" s="43"/>
      <c r="D82" s="52">
        <f>SUM(D7:D77)</f>
        <v>2178631</v>
      </c>
      <c r="E82" s="94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3:23" ht="15.75" thickBot="1" x14ac:dyDescent="0.3">
      <c r="D83" s="44"/>
      <c r="E83" s="4"/>
      <c r="F83" s="93">
        <f>F81+F6</f>
        <v>2435122</v>
      </c>
      <c r="G83" s="84">
        <f>G5+G81</f>
        <v>0</v>
      </c>
      <c r="H83" s="84">
        <f>H81+H6</f>
        <v>0</v>
      </c>
      <c r="I83" s="84">
        <f>I81+I6</f>
        <v>0</v>
      </c>
      <c r="J83" s="85">
        <f t="shared" ref="J83:O83" si="7">+J6+J81</f>
        <v>0</v>
      </c>
      <c r="K83" s="85">
        <f t="shared" si="7"/>
        <v>0</v>
      </c>
      <c r="L83" s="84">
        <f t="shared" si="7"/>
        <v>0</v>
      </c>
      <c r="M83" s="84">
        <f t="shared" si="7"/>
        <v>0</v>
      </c>
      <c r="N83" s="84">
        <f t="shared" si="7"/>
        <v>0</v>
      </c>
      <c r="O83" s="3">
        <f t="shared" si="7"/>
        <v>2435122</v>
      </c>
      <c r="P83" s="10"/>
    </row>
    <row r="84" spans="3:23" ht="17.25" customHeight="1" x14ac:dyDescent="0.25">
      <c r="D84" s="53"/>
      <c r="E84" t="s">
        <v>56</v>
      </c>
      <c r="F84" s="34"/>
      <c r="G84" s="34" t="e">
        <f t="shared" ref="G84:H84" si="8">+G85/G83</f>
        <v>#DIV/0!</v>
      </c>
      <c r="H84" s="34" t="e">
        <f t="shared" si="8"/>
        <v>#DIV/0!</v>
      </c>
      <c r="I84" s="34" t="e">
        <f>+I85/I83</f>
        <v>#DIV/0!</v>
      </c>
      <c r="J84" s="34" t="e">
        <f>+J85/J83</f>
        <v>#DIV/0!</v>
      </c>
      <c r="K84" s="34">
        <v>50.18</v>
      </c>
      <c r="L84" s="34" t="e">
        <f>+L85/L83</f>
        <v>#DIV/0!</v>
      </c>
      <c r="M84" s="35" t="e">
        <f>+M85/M83</f>
        <v>#DIV/0!</v>
      </c>
      <c r="N84" s="53" t="e">
        <f>+N85/N83</f>
        <v>#DIV/0!</v>
      </c>
      <c r="O84" s="33"/>
      <c r="S84" s="55"/>
      <c r="T84" s="56"/>
      <c r="U84" s="57"/>
    </row>
    <row r="85" spans="3:23" ht="15.75" x14ac:dyDescent="0.25">
      <c r="D85" s="44"/>
      <c r="F85" s="5">
        <f>F81*84.88</f>
        <v>184922199.28</v>
      </c>
      <c r="G85" s="5"/>
      <c r="H85" s="5"/>
      <c r="I85" s="5"/>
      <c r="J85" s="5"/>
      <c r="K85" s="19"/>
      <c r="L85" s="19"/>
      <c r="M85" s="19"/>
      <c r="N85" s="19"/>
      <c r="O85" s="84"/>
      <c r="P85" s="9"/>
      <c r="S85" s="58"/>
      <c r="T85" s="59"/>
      <c r="U85" s="60"/>
    </row>
    <row r="86" spans="3:23" x14ac:dyDescent="0.25">
      <c r="S86" s="61"/>
      <c r="T86" s="62"/>
      <c r="U86" s="60"/>
    </row>
    <row r="87" spans="3:23" ht="15.75" thickBot="1" x14ac:dyDescent="0.3">
      <c r="D87" s="44"/>
      <c r="E87" s="81" t="s">
        <v>87</v>
      </c>
      <c r="F87" s="10">
        <f>186405*84.88+70086*59.60013412</f>
        <v>19999191.399934318</v>
      </c>
      <c r="G87" s="10"/>
      <c r="H87" s="8"/>
      <c r="I87" s="9"/>
      <c r="J87" s="9"/>
      <c r="K87" s="9"/>
      <c r="L87" s="10"/>
      <c r="M87" s="9"/>
      <c r="N87" s="10"/>
      <c r="P87" s="4"/>
      <c r="Q87" s="4"/>
      <c r="S87" s="63"/>
      <c r="T87" s="64"/>
      <c r="U87" s="65"/>
    </row>
    <row r="88" spans="3:23" x14ac:dyDescent="0.25">
      <c r="E88" t="s">
        <v>88</v>
      </c>
      <c r="F88" s="10">
        <f>F81*84.88</f>
        <v>184922199.28</v>
      </c>
      <c r="G88" s="20"/>
      <c r="H88" s="10"/>
      <c r="I88" s="22"/>
      <c r="J88" s="9"/>
      <c r="K88" s="9"/>
      <c r="L88" s="10"/>
      <c r="M88" s="31"/>
      <c r="N88" s="9"/>
      <c r="O88" s="10"/>
      <c r="R88" s="8"/>
    </row>
    <row r="89" spans="3:23" x14ac:dyDescent="0.25">
      <c r="E89" s="88" t="s">
        <v>55</v>
      </c>
      <c r="F89" s="23">
        <f>SUM(F87:F88)</f>
        <v>204921390.67993432</v>
      </c>
      <c r="G89" s="83">
        <f t="shared" ref="G89:N89" si="9">SUM(G87:G88)</f>
        <v>0</v>
      </c>
      <c r="H89" s="23">
        <f t="shared" si="9"/>
        <v>0</v>
      </c>
      <c r="I89" s="23">
        <f t="shared" si="9"/>
        <v>0</v>
      </c>
      <c r="J89" s="21">
        <f t="shared" si="9"/>
        <v>0</v>
      </c>
      <c r="K89" s="21">
        <f t="shared" si="9"/>
        <v>0</v>
      </c>
      <c r="L89" s="82">
        <f t="shared" si="9"/>
        <v>0</v>
      </c>
      <c r="M89" s="21">
        <f t="shared" si="9"/>
        <v>0</v>
      </c>
      <c r="N89" s="23">
        <f t="shared" si="9"/>
        <v>0</v>
      </c>
      <c r="R89" s="24"/>
      <c r="S89" s="9"/>
    </row>
    <row r="90" spans="3:23" x14ac:dyDescent="0.25">
      <c r="G90" s="13"/>
      <c r="I90" s="10"/>
      <c r="J90" s="9"/>
      <c r="L90" s="8">
        <f>+'[1]RELACION COCIDA 2022'!$N$73</f>
        <v>0</v>
      </c>
    </row>
    <row r="91" spans="3:23" x14ac:dyDescent="0.25">
      <c r="G91" s="8"/>
      <c r="L91" s="8"/>
      <c r="N91" s="8"/>
      <c r="O91" s="86"/>
      <c r="S91" t="s">
        <v>83</v>
      </c>
      <c r="V91" s="6" t="s">
        <v>77</v>
      </c>
    </row>
    <row r="92" spans="3:23" x14ac:dyDescent="0.25">
      <c r="G92" s="17"/>
      <c r="J92" s="8"/>
      <c r="K92" s="8"/>
      <c r="L92" s="4"/>
      <c r="M92" s="8"/>
      <c r="N92" s="10"/>
      <c r="S92" s="67">
        <v>3028765</v>
      </c>
      <c r="U92" s="4"/>
      <c r="V92" s="11" t="e">
        <f>+#REF!/13</f>
        <v>#REF!</v>
      </c>
      <c r="W92" t="s">
        <v>76</v>
      </c>
    </row>
    <row r="93" spans="3:23" x14ac:dyDescent="0.25">
      <c r="G93" s="17"/>
      <c r="N93" s="10"/>
      <c r="Q93" s="8"/>
      <c r="R93" s="10"/>
      <c r="S93" s="11" t="e">
        <f>+V101</f>
        <v>#REF!</v>
      </c>
      <c r="U93" t="s">
        <v>79</v>
      </c>
      <c r="V93" s="11">
        <f>90000+30000</f>
        <v>120000</v>
      </c>
      <c r="W93" t="s">
        <v>78</v>
      </c>
    </row>
    <row r="94" spans="3:23" x14ac:dyDescent="0.25">
      <c r="G94" s="17"/>
      <c r="H94" s="8"/>
      <c r="S94" s="8"/>
      <c r="U94" t="s">
        <v>80</v>
      </c>
      <c r="V94" s="11">
        <v>1270</v>
      </c>
    </row>
    <row r="95" spans="3:23" ht="15.75" thickBot="1" x14ac:dyDescent="0.3">
      <c r="G95" s="24"/>
      <c r="S95" s="8"/>
      <c r="U95" t="s">
        <v>81</v>
      </c>
      <c r="V95" s="11">
        <v>785.66666666666663</v>
      </c>
    </row>
    <row r="96" spans="3:23" x14ac:dyDescent="0.25">
      <c r="G96" s="17"/>
      <c r="H96" s="68" t="s">
        <v>84</v>
      </c>
      <c r="I96" s="69"/>
      <c r="J96" s="70"/>
      <c r="K96" s="69"/>
      <c r="L96" s="70"/>
      <c r="M96" s="69"/>
      <c r="N96" s="70"/>
      <c r="U96" t="s">
        <v>82</v>
      </c>
      <c r="V96" s="11">
        <f>350000/3</f>
        <v>116666.66666666667</v>
      </c>
    </row>
    <row r="97" spans="7:22" x14ac:dyDescent="0.25">
      <c r="G97" s="17"/>
      <c r="H97" s="71"/>
      <c r="I97" s="72" t="e">
        <f>+I84</f>
        <v>#DIV/0!</v>
      </c>
      <c r="J97" s="73" t="e">
        <f>+J84</f>
        <v>#DIV/0!</v>
      </c>
      <c r="K97" s="73">
        <f>+K84</f>
        <v>50.18</v>
      </c>
      <c r="L97" s="73" t="e">
        <f>+L84</f>
        <v>#DIV/0!</v>
      </c>
      <c r="M97" s="74" t="e">
        <f>+M84</f>
        <v>#DIV/0!</v>
      </c>
      <c r="N97" s="75">
        <v>77.459999999999994</v>
      </c>
      <c r="V97" s="66" t="e">
        <f>SUM(V92:V96)</f>
        <v>#REF!</v>
      </c>
    </row>
    <row r="98" spans="7:22" ht="15.75" thickBot="1" x14ac:dyDescent="0.3">
      <c r="G98" s="17"/>
      <c r="H98" s="76"/>
      <c r="I98" s="77" t="e">
        <f t="shared" ref="I98:N98" si="10">+I96*I97</f>
        <v>#DIV/0!</v>
      </c>
      <c r="J98" s="77" t="e">
        <f t="shared" si="10"/>
        <v>#DIV/0!</v>
      </c>
      <c r="K98" s="77">
        <f t="shared" si="10"/>
        <v>0</v>
      </c>
      <c r="L98" s="77" t="e">
        <f t="shared" si="10"/>
        <v>#DIV/0!</v>
      </c>
      <c r="M98" s="77" t="e">
        <f t="shared" si="10"/>
        <v>#DIV/0!</v>
      </c>
      <c r="N98" s="77">
        <f t="shared" si="10"/>
        <v>0</v>
      </c>
      <c r="S98" s="11">
        <v>3191205</v>
      </c>
      <c r="V98" s="9">
        <v>152560</v>
      </c>
    </row>
    <row r="99" spans="7:22" ht="15.75" thickBot="1" x14ac:dyDescent="0.3">
      <c r="G99" s="17"/>
      <c r="H99" s="78"/>
      <c r="I99" s="78"/>
      <c r="J99" s="78"/>
      <c r="K99" s="78"/>
      <c r="L99" s="78"/>
      <c r="M99" s="78"/>
      <c r="N99" s="78"/>
      <c r="V99" s="9">
        <v>191651</v>
      </c>
    </row>
    <row r="100" spans="7:22" x14ac:dyDescent="0.25">
      <c r="G100" s="17"/>
      <c r="H100" s="78"/>
      <c r="I100" s="78"/>
      <c r="J100" s="78"/>
      <c r="K100" s="78"/>
      <c r="L100" s="68" t="s">
        <v>70</v>
      </c>
      <c r="M100" s="69">
        <v>16461</v>
      </c>
      <c r="N100" s="70">
        <v>27224</v>
      </c>
      <c r="V100" s="9">
        <v>285552</v>
      </c>
    </row>
    <row r="101" spans="7:22" x14ac:dyDescent="0.25">
      <c r="G101" s="17"/>
      <c r="H101" s="79"/>
      <c r="I101" s="78"/>
      <c r="J101" s="78"/>
      <c r="K101" s="78"/>
      <c r="L101" s="71"/>
      <c r="M101" s="74">
        <v>77.930000000000007</v>
      </c>
      <c r="N101" s="75">
        <v>77.459999999999994</v>
      </c>
      <c r="V101" s="32" t="e">
        <f>SUM(V97:V100)</f>
        <v>#REF!</v>
      </c>
    </row>
    <row r="102" spans="7:22" ht="15.75" thickBot="1" x14ac:dyDescent="0.3">
      <c r="G102" s="17"/>
      <c r="H102" s="78"/>
      <c r="I102" s="78"/>
      <c r="J102" s="78"/>
      <c r="K102" s="78"/>
      <c r="L102" s="76"/>
      <c r="M102" s="80">
        <f>+M100*M101</f>
        <v>1282805.7300000002</v>
      </c>
      <c r="N102" s="80">
        <f>+N100*N101</f>
        <v>2108771.04</v>
      </c>
    </row>
  </sheetData>
  <mergeCells count="2">
    <mergeCell ref="C3:D3"/>
    <mergeCell ref="C4:D4"/>
  </mergeCells>
  <pageMargins left="2.06" right="0.70866141732283472" top="0.31" bottom="0.48" header="0.11811023622047245" footer="0.55000000000000004"/>
  <pageSetup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99"/>
  <sheetViews>
    <sheetView topLeftCell="B1" zoomScale="96" zoomScaleNormal="96" workbookViewId="0">
      <selection activeCell="Q61" sqref="Q61:Q62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8" width="18.42578125" customWidth="1"/>
    <col min="9" max="9" width="15.42578125" customWidth="1"/>
    <col min="10" max="10" width="0.5703125" hidden="1" customWidth="1"/>
    <col min="11" max="11" width="17.140625" hidden="1" customWidth="1"/>
    <col min="12" max="12" width="13.5703125" hidden="1" customWidth="1"/>
    <col min="13" max="13" width="17.7109375" hidden="1" customWidth="1"/>
    <col min="14" max="14" width="16.85546875" hidden="1" customWidth="1"/>
    <col min="15" max="15" width="17.42578125" hidden="1" customWidth="1"/>
    <col min="16" max="16" width="16.85546875" hidden="1" customWidth="1"/>
    <col min="17" max="17" width="20.140625" customWidth="1"/>
    <col min="18" max="18" width="6.28515625" customWidth="1"/>
    <col min="19" max="19" width="18" customWidth="1"/>
    <col min="20" max="20" width="16.85546875" bestFit="1" customWidth="1"/>
    <col min="21" max="21" width="17.28515625" bestFit="1" customWidth="1"/>
  </cols>
  <sheetData>
    <row r="1" spans="3:18" x14ac:dyDescent="0.25">
      <c r="F1" s="9"/>
    </row>
    <row r="2" spans="3:18" ht="21.75" customHeight="1" thickBot="1" x14ac:dyDescent="0.3">
      <c r="L2" s="10"/>
      <c r="M2" s="4"/>
      <c r="N2" s="10"/>
      <c r="O2" s="10"/>
      <c r="P2" s="10"/>
      <c r="Q2" s="10"/>
    </row>
    <row r="3" spans="3:18" ht="30" customHeight="1" thickBot="1" x14ac:dyDescent="0.3">
      <c r="C3" s="99" t="s">
        <v>64</v>
      </c>
      <c r="D3" s="100"/>
    </row>
    <row r="4" spans="3:18" ht="32.25" customHeight="1" thickBot="1" x14ac:dyDescent="0.3">
      <c r="C4" s="101" t="s">
        <v>0</v>
      </c>
      <c r="D4" s="102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51</v>
      </c>
      <c r="L4" s="36" t="s">
        <v>52</v>
      </c>
      <c r="M4" s="25" t="s">
        <v>53</v>
      </c>
      <c r="N4" s="37" t="s">
        <v>67</v>
      </c>
      <c r="O4" s="37" t="s">
        <v>54</v>
      </c>
      <c r="P4" s="37" t="s">
        <v>74</v>
      </c>
      <c r="Q4" s="36" t="s">
        <v>55</v>
      </c>
    </row>
    <row r="5" spans="3:18" ht="16.5" customHeight="1" thickBot="1" x14ac:dyDescent="0.3">
      <c r="C5" s="38" t="s">
        <v>1</v>
      </c>
      <c r="D5" s="54">
        <f>+Q5</f>
        <v>393347</v>
      </c>
      <c r="F5" s="26">
        <f>50299+8265+12530+119794</f>
        <v>190888</v>
      </c>
      <c r="G5" s="26">
        <f>135601+49106+6495+11257</f>
        <v>202459</v>
      </c>
      <c r="H5" s="26"/>
      <c r="I5" s="26"/>
      <c r="J5" s="26"/>
      <c r="K5" s="26"/>
      <c r="L5" s="26"/>
      <c r="M5" s="26"/>
      <c r="N5" s="27"/>
      <c r="O5" s="27"/>
      <c r="P5" s="27"/>
      <c r="Q5" s="1">
        <f>+F5+G5+H5+I5+J5+K5+L5+M5+N5+O5+P5</f>
        <v>393347</v>
      </c>
    </row>
    <row r="6" spans="3:18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/>
      <c r="I6" s="29"/>
      <c r="J6" s="29"/>
      <c r="K6" s="29"/>
      <c r="L6" s="29"/>
      <c r="M6" s="29"/>
      <c r="N6" s="29"/>
      <c r="O6" s="30"/>
      <c r="P6" s="30"/>
      <c r="Q6" s="15">
        <f>+Q5</f>
        <v>393347</v>
      </c>
      <c r="R6" s="18"/>
    </row>
    <row r="7" spans="3:18" ht="16.5" customHeight="1" x14ac:dyDescent="0.25">
      <c r="C7" s="45" t="s">
        <v>3</v>
      </c>
      <c r="D7" s="49">
        <f>+Q7</f>
        <v>696283</v>
      </c>
      <c r="F7" s="1">
        <f>253120+2200+80683</f>
        <v>336003</v>
      </c>
      <c r="G7" s="1">
        <f>231610+1660+127010</f>
        <v>360280</v>
      </c>
      <c r="H7" s="1"/>
      <c r="I7" s="1"/>
      <c r="J7" s="1"/>
      <c r="K7" s="1"/>
      <c r="L7" s="1"/>
      <c r="M7" s="1"/>
      <c r="N7" s="14"/>
      <c r="O7" s="1"/>
      <c r="P7" s="1"/>
      <c r="Q7" s="1">
        <f t="shared" ref="Q7:Q74" si="0">+F7+G7+H7+I7+J7+K7+L7+M7+N7+O7+P7</f>
        <v>696283</v>
      </c>
    </row>
    <row r="8" spans="3:18" ht="14.25" customHeight="1" x14ac:dyDescent="0.25">
      <c r="C8" s="46" t="s">
        <v>4</v>
      </c>
      <c r="D8" s="50">
        <f t="shared" ref="D8:D74" si="1">+Q8</f>
        <v>81346</v>
      </c>
      <c r="F8" s="1">
        <f>5959+2115+22860</f>
        <v>30934</v>
      </c>
      <c r="G8" s="1">
        <f>5800+2405+42207</f>
        <v>50412</v>
      </c>
      <c r="H8" s="1"/>
      <c r="I8" s="1"/>
      <c r="J8" s="1"/>
      <c r="K8" s="1"/>
      <c r="L8" s="1"/>
      <c r="M8" s="1"/>
      <c r="N8" s="14"/>
      <c r="O8" s="1"/>
      <c r="P8" s="14"/>
      <c r="Q8" s="1">
        <f t="shared" si="0"/>
        <v>81346</v>
      </c>
    </row>
    <row r="9" spans="3:18" ht="15.75" customHeight="1" x14ac:dyDescent="0.25">
      <c r="C9" s="45" t="s">
        <v>5</v>
      </c>
      <c r="D9" s="49">
        <f t="shared" si="1"/>
        <v>135985</v>
      </c>
      <c r="F9" s="1">
        <f>7510+50489</f>
        <v>57999</v>
      </c>
      <c r="G9" s="1">
        <f>9570+68416</f>
        <v>77986</v>
      </c>
      <c r="H9" s="1"/>
      <c r="I9" s="1"/>
      <c r="J9" s="1"/>
      <c r="K9" s="1"/>
      <c r="L9" s="1"/>
      <c r="M9" s="1"/>
      <c r="N9" s="14"/>
      <c r="O9" s="1"/>
      <c r="P9" s="14"/>
      <c r="Q9" s="1">
        <f t="shared" si="0"/>
        <v>135985</v>
      </c>
      <c r="R9" s="10"/>
    </row>
    <row r="10" spans="3:18" ht="13.5" customHeight="1" x14ac:dyDescent="0.25">
      <c r="C10" s="46" t="s">
        <v>6</v>
      </c>
      <c r="D10" s="50">
        <f t="shared" si="1"/>
        <v>106477</v>
      </c>
      <c r="F10" s="1">
        <f>3829+37646</f>
        <v>41475</v>
      </c>
      <c r="G10" s="1">
        <f>4440+60562</f>
        <v>65002</v>
      </c>
      <c r="H10" s="1"/>
      <c r="I10" s="1"/>
      <c r="J10" s="1"/>
      <c r="K10" s="1"/>
      <c r="L10" s="1"/>
      <c r="M10" s="1"/>
      <c r="N10" s="14"/>
      <c r="O10" s="1"/>
      <c r="P10" s="14"/>
      <c r="Q10" s="1">
        <f t="shared" si="0"/>
        <v>106477</v>
      </c>
    </row>
    <row r="11" spans="3:18" ht="15" customHeight="1" x14ac:dyDescent="0.25">
      <c r="C11" s="45" t="s">
        <v>7</v>
      </c>
      <c r="D11" s="49">
        <f t="shared" si="1"/>
        <v>118255</v>
      </c>
      <c r="F11" s="1">
        <f>459+45419</f>
        <v>45878</v>
      </c>
      <c r="G11" s="1">
        <f>598+71779</f>
        <v>72377</v>
      </c>
      <c r="H11" s="1"/>
      <c r="I11" s="1"/>
      <c r="J11" s="1"/>
      <c r="K11" s="1"/>
      <c r="L11" s="1"/>
      <c r="M11" s="1"/>
      <c r="N11" s="14"/>
      <c r="O11" s="1"/>
      <c r="P11" s="14"/>
      <c r="Q11" s="1">
        <f t="shared" si="0"/>
        <v>118255</v>
      </c>
    </row>
    <row r="12" spans="3:18" ht="15" customHeight="1" x14ac:dyDescent="0.25">
      <c r="C12" s="46" t="s">
        <v>8</v>
      </c>
      <c r="D12" s="50">
        <f t="shared" si="1"/>
        <v>130166</v>
      </c>
      <c r="F12" s="1">
        <f>450+643+51175</f>
        <v>52268</v>
      </c>
      <c r="G12" s="1">
        <f>2410+807+74681</f>
        <v>77898</v>
      </c>
      <c r="H12" s="1"/>
      <c r="I12" s="1"/>
      <c r="J12" s="1"/>
      <c r="K12" s="1"/>
      <c r="L12" s="1"/>
      <c r="M12" s="1"/>
      <c r="N12" s="14"/>
      <c r="O12" s="1"/>
      <c r="P12" s="14"/>
      <c r="Q12" s="1">
        <f t="shared" si="0"/>
        <v>130166</v>
      </c>
    </row>
    <row r="13" spans="3:18" ht="16.5" customHeight="1" x14ac:dyDescent="0.25">
      <c r="C13" s="45" t="s">
        <v>9</v>
      </c>
      <c r="D13" s="49">
        <f t="shared" si="1"/>
        <v>99782</v>
      </c>
      <c r="F13" s="1">
        <f>806+37863+3000</f>
        <v>41669</v>
      </c>
      <c r="G13" s="1">
        <f>1018+57095</f>
        <v>58113</v>
      </c>
      <c r="H13" s="1"/>
      <c r="I13" s="1"/>
      <c r="J13" s="1"/>
      <c r="K13" s="1"/>
      <c r="L13" s="1"/>
      <c r="M13" s="1"/>
      <c r="N13" s="14"/>
      <c r="O13" s="1"/>
      <c r="P13" s="14"/>
      <c r="Q13" s="1">
        <f t="shared" si="0"/>
        <v>99782</v>
      </c>
    </row>
    <row r="14" spans="3:18" ht="13.5" customHeight="1" x14ac:dyDescent="0.25">
      <c r="C14" s="46" t="s">
        <v>10</v>
      </c>
      <c r="D14" s="50">
        <f t="shared" si="1"/>
        <v>81532</v>
      </c>
      <c r="F14" s="1">
        <f>2970+641+27219</f>
        <v>30830</v>
      </c>
      <c r="G14" s="1">
        <f>3696+902+46104</f>
        <v>50702</v>
      </c>
      <c r="H14" s="1"/>
      <c r="I14" s="1"/>
      <c r="J14" s="1"/>
      <c r="K14" s="1"/>
      <c r="L14" s="1"/>
      <c r="M14" s="1"/>
      <c r="N14" s="14"/>
      <c r="O14" s="1"/>
      <c r="P14" s="14"/>
      <c r="Q14" s="1">
        <f t="shared" si="0"/>
        <v>81532</v>
      </c>
    </row>
    <row r="15" spans="3:18" ht="16.5" customHeight="1" x14ac:dyDescent="0.25">
      <c r="C15" s="45" t="s">
        <v>96</v>
      </c>
      <c r="D15" s="49">
        <f>+Q15</f>
        <v>1125</v>
      </c>
      <c r="F15" s="1"/>
      <c r="G15" s="1">
        <f>10+1115</f>
        <v>1125</v>
      </c>
      <c r="H15" s="1"/>
      <c r="I15" s="1"/>
      <c r="J15" s="1"/>
      <c r="K15" s="1"/>
      <c r="L15" s="1"/>
      <c r="M15" s="1"/>
      <c r="N15" s="87"/>
      <c r="O15" s="2"/>
      <c r="P15" s="87"/>
      <c r="Q15" s="1">
        <f>+F15+G15+H15+I15+J15+K15+L15+M15+N15+O15+P15</f>
        <v>1125</v>
      </c>
    </row>
    <row r="16" spans="3:18" ht="14.25" customHeight="1" x14ac:dyDescent="0.25">
      <c r="C16" s="40" t="s">
        <v>66</v>
      </c>
      <c r="D16" s="49">
        <f t="shared" si="1"/>
        <v>35898</v>
      </c>
      <c r="F16" s="1">
        <f>209+11552+380+3379</f>
        <v>15520</v>
      </c>
      <c r="G16" s="1">
        <f>223+15056+486+4613</f>
        <v>20378</v>
      </c>
      <c r="H16" s="1"/>
      <c r="I16" s="1"/>
      <c r="J16" s="1"/>
      <c r="K16" s="1"/>
      <c r="L16" s="1"/>
      <c r="M16" s="1"/>
      <c r="N16" s="14"/>
      <c r="O16" s="1"/>
      <c r="P16" s="14"/>
      <c r="Q16" s="1">
        <f t="shared" si="0"/>
        <v>35898</v>
      </c>
    </row>
    <row r="17" spans="3:18" x14ac:dyDescent="0.25">
      <c r="C17" s="46" t="s">
        <v>89</v>
      </c>
      <c r="D17" s="50">
        <f t="shared" si="1"/>
        <v>119163</v>
      </c>
      <c r="F17" s="1"/>
      <c r="G17" s="1">
        <f>6770+86772+25621</f>
        <v>119163</v>
      </c>
      <c r="H17" s="1"/>
      <c r="I17" s="1"/>
      <c r="J17" s="1"/>
      <c r="K17" s="1"/>
      <c r="L17" s="1"/>
      <c r="M17" s="1"/>
      <c r="N17" s="14"/>
      <c r="O17" s="1"/>
      <c r="P17" s="14"/>
      <c r="Q17" s="1">
        <f t="shared" si="0"/>
        <v>119163</v>
      </c>
    </row>
    <row r="18" spans="3:18" x14ac:dyDescent="0.25">
      <c r="C18" s="45" t="s">
        <v>13</v>
      </c>
      <c r="D18" s="49">
        <f t="shared" si="1"/>
        <v>25948</v>
      </c>
      <c r="F18" s="1">
        <f>448+8715</f>
        <v>9163</v>
      </c>
      <c r="G18" s="1">
        <f>560+16225</f>
        <v>16785</v>
      </c>
      <c r="H18" s="1"/>
      <c r="I18" s="1"/>
      <c r="J18" s="1"/>
      <c r="K18" s="1"/>
      <c r="L18" s="1"/>
      <c r="M18" s="1"/>
      <c r="N18" s="14"/>
      <c r="O18" s="1"/>
      <c r="P18" s="14"/>
      <c r="Q18" s="1">
        <f t="shared" si="0"/>
        <v>25948</v>
      </c>
    </row>
    <row r="19" spans="3:18" ht="16.5" customHeight="1" x14ac:dyDescent="0.25">
      <c r="C19" s="46" t="s">
        <v>11</v>
      </c>
      <c r="D19" s="50">
        <f t="shared" si="1"/>
        <v>28884</v>
      </c>
      <c r="F19" s="1">
        <f>330+12194</f>
        <v>12524</v>
      </c>
      <c r="G19" s="1">
        <f>418+15942</f>
        <v>16360</v>
      </c>
      <c r="H19" s="1"/>
      <c r="I19" s="1"/>
      <c r="J19" s="1"/>
      <c r="K19" s="1"/>
      <c r="L19" s="1"/>
      <c r="M19" s="1"/>
      <c r="N19" s="14"/>
      <c r="O19" s="1"/>
      <c r="P19" s="14"/>
      <c r="Q19" s="1">
        <f t="shared" si="0"/>
        <v>28884</v>
      </c>
    </row>
    <row r="20" spans="3:18" x14ac:dyDescent="0.25">
      <c r="C20" s="45" t="s">
        <v>12</v>
      </c>
      <c r="D20" s="49">
        <f t="shared" si="1"/>
        <v>32143</v>
      </c>
      <c r="F20" s="1">
        <f>249+13251</f>
        <v>13500</v>
      </c>
      <c r="G20" s="1">
        <f>319+18324</f>
        <v>18643</v>
      </c>
      <c r="H20" s="1"/>
      <c r="I20" s="1"/>
      <c r="J20" s="1"/>
      <c r="K20" s="1"/>
      <c r="L20" s="1"/>
      <c r="M20" s="1"/>
      <c r="N20" s="14"/>
      <c r="O20" s="1"/>
      <c r="P20" s="14"/>
      <c r="Q20" s="1">
        <f t="shared" si="0"/>
        <v>32143</v>
      </c>
    </row>
    <row r="21" spans="3:18" x14ac:dyDescent="0.25">
      <c r="C21" s="46" t="s">
        <v>14</v>
      </c>
      <c r="D21" s="50">
        <f t="shared" si="1"/>
        <v>18062</v>
      </c>
      <c r="F21" s="1">
        <f>259+6110</f>
        <v>6369</v>
      </c>
      <c r="G21" s="1">
        <f>298+11395</f>
        <v>11693</v>
      </c>
      <c r="H21" s="1"/>
      <c r="I21" s="1"/>
      <c r="J21" s="1"/>
      <c r="K21" s="1"/>
      <c r="L21" s="1"/>
      <c r="M21" s="1"/>
      <c r="N21" s="14"/>
      <c r="O21" s="1"/>
      <c r="P21" s="14"/>
      <c r="Q21" s="1">
        <f t="shared" si="0"/>
        <v>18062</v>
      </c>
    </row>
    <row r="22" spans="3:18" x14ac:dyDescent="0.25">
      <c r="C22" s="45" t="s">
        <v>17</v>
      </c>
      <c r="D22" s="49">
        <f t="shared" si="1"/>
        <v>21804</v>
      </c>
      <c r="F22" s="1">
        <f>212+8861+50</f>
        <v>9123</v>
      </c>
      <c r="G22" s="1">
        <f>252+12429</f>
        <v>12681</v>
      </c>
      <c r="H22" s="1"/>
      <c r="I22" s="1"/>
      <c r="J22" s="1"/>
      <c r="K22" s="1"/>
      <c r="L22" s="14"/>
      <c r="M22" s="1"/>
      <c r="N22" s="14"/>
      <c r="O22" s="1"/>
      <c r="P22" s="14"/>
      <c r="Q22" s="1">
        <f t="shared" si="0"/>
        <v>21804</v>
      </c>
    </row>
    <row r="23" spans="3:18" ht="13.5" customHeight="1" x14ac:dyDescent="0.25">
      <c r="C23" s="46" t="s">
        <v>63</v>
      </c>
      <c r="D23" s="50">
        <f t="shared" si="1"/>
        <v>57447</v>
      </c>
      <c r="F23" s="1">
        <f>180+23767</f>
        <v>23947</v>
      </c>
      <c r="G23" s="1">
        <f>228+33272</f>
        <v>33500</v>
      </c>
      <c r="H23" s="1"/>
      <c r="I23" s="1"/>
      <c r="J23" s="1"/>
      <c r="K23" s="1"/>
      <c r="L23" s="14"/>
      <c r="M23" s="1"/>
      <c r="N23" s="14"/>
      <c r="O23" s="1"/>
      <c r="P23" s="14"/>
      <c r="Q23" s="1">
        <f t="shared" si="0"/>
        <v>57447</v>
      </c>
    </row>
    <row r="24" spans="3:18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4"/>
      <c r="M24" s="1"/>
      <c r="N24" s="14"/>
      <c r="O24" s="1"/>
      <c r="P24" s="14"/>
      <c r="Q24" s="1">
        <f t="shared" si="0"/>
        <v>0</v>
      </c>
    </row>
    <row r="25" spans="3:18" ht="14.25" customHeight="1" x14ac:dyDescent="0.25">
      <c r="C25" s="46" t="s">
        <v>15</v>
      </c>
      <c r="D25" s="50">
        <f t="shared" si="1"/>
        <v>34312</v>
      </c>
      <c r="F25" s="1">
        <f>220+14392</f>
        <v>14612</v>
      </c>
      <c r="G25" s="1">
        <f>256+19444</f>
        <v>19700</v>
      </c>
      <c r="H25" s="1"/>
      <c r="I25" s="1"/>
      <c r="J25" s="1"/>
      <c r="K25" s="1"/>
      <c r="L25" s="1"/>
      <c r="M25" s="1"/>
      <c r="N25" s="14"/>
      <c r="O25" s="1"/>
      <c r="P25" s="14"/>
      <c r="Q25" s="1">
        <f t="shared" si="0"/>
        <v>34312</v>
      </c>
    </row>
    <row r="26" spans="3:18" ht="13.5" customHeight="1" x14ac:dyDescent="0.25">
      <c r="C26" s="45" t="s">
        <v>16</v>
      </c>
      <c r="D26" s="49">
        <f t="shared" si="1"/>
        <v>39423</v>
      </c>
      <c r="F26" s="1">
        <f>490+14849+500</f>
        <v>15839</v>
      </c>
      <c r="G26" s="1">
        <f>580+23004</f>
        <v>23584</v>
      </c>
      <c r="H26" s="1"/>
      <c r="I26" s="1"/>
      <c r="J26" s="1"/>
      <c r="K26" s="1"/>
      <c r="L26" s="1"/>
      <c r="M26" s="1"/>
      <c r="N26" s="14"/>
      <c r="O26" s="1"/>
      <c r="P26" s="14"/>
      <c r="Q26" s="1">
        <f t="shared" si="0"/>
        <v>39423</v>
      </c>
    </row>
    <row r="27" spans="3:18" x14ac:dyDescent="0.25">
      <c r="C27" s="46" t="s">
        <v>18</v>
      </c>
      <c r="D27" s="50">
        <f t="shared" si="1"/>
        <v>73314</v>
      </c>
      <c r="F27" s="1">
        <f>262+27585</f>
        <v>27847</v>
      </c>
      <c r="G27" s="1">
        <f>330+45137</f>
        <v>45467</v>
      </c>
      <c r="H27" s="1"/>
      <c r="I27" s="1"/>
      <c r="J27" s="1"/>
      <c r="K27" s="1"/>
      <c r="L27" s="1"/>
      <c r="M27" s="1"/>
      <c r="N27" s="14"/>
      <c r="O27" s="1"/>
      <c r="P27" s="14"/>
      <c r="Q27" s="1">
        <f t="shared" si="0"/>
        <v>73314</v>
      </c>
    </row>
    <row r="28" spans="3:18" ht="13.5" customHeight="1" x14ac:dyDescent="0.25">
      <c r="C28" s="45" t="s">
        <v>85</v>
      </c>
      <c r="D28" s="49">
        <f>+Q28</f>
        <v>29655</v>
      </c>
      <c r="F28" s="1">
        <f>390+12975</f>
        <v>13365</v>
      </c>
      <c r="G28" s="1">
        <f>494+15796</f>
        <v>16290</v>
      </c>
      <c r="H28" s="1"/>
      <c r="I28" s="1"/>
      <c r="J28" s="1"/>
      <c r="K28" s="1"/>
      <c r="L28" s="1"/>
      <c r="M28" s="1"/>
      <c r="N28" s="14"/>
      <c r="O28" s="1"/>
      <c r="P28" s="14"/>
      <c r="Q28" s="1">
        <f t="shared" si="0"/>
        <v>29655</v>
      </c>
    </row>
    <row r="29" spans="3:18" ht="15" customHeight="1" x14ac:dyDescent="0.25">
      <c r="C29" s="45" t="s">
        <v>95</v>
      </c>
      <c r="D29" s="49">
        <f t="shared" ref="D29" si="2">+Q29</f>
        <v>2659</v>
      </c>
      <c r="F29" s="1"/>
      <c r="G29" s="1">
        <f>84+2575</f>
        <v>2659</v>
      </c>
      <c r="H29" s="1"/>
      <c r="I29" s="1"/>
      <c r="J29" s="1"/>
      <c r="K29" s="1"/>
      <c r="L29" s="1"/>
      <c r="M29" s="1"/>
      <c r="N29" s="87"/>
      <c r="O29" s="2"/>
      <c r="P29" s="87"/>
      <c r="Q29" s="1">
        <f>+F29+G29+H29+I29+J29+K29+L29+M29+N29+O29+P29</f>
        <v>2659</v>
      </c>
    </row>
    <row r="30" spans="3:18" ht="15" customHeight="1" x14ac:dyDescent="0.25">
      <c r="C30" s="46" t="s">
        <v>19</v>
      </c>
      <c r="D30" s="50">
        <f t="shared" si="1"/>
        <v>56362</v>
      </c>
      <c r="F30" s="1">
        <f>2900+233+21085</f>
        <v>24218</v>
      </c>
      <c r="G30" s="1">
        <f>3300+311+28533</f>
        <v>32144</v>
      </c>
      <c r="H30" s="1"/>
      <c r="I30" s="1"/>
      <c r="J30" s="1"/>
      <c r="K30" s="1"/>
      <c r="L30" s="1"/>
      <c r="M30" s="1"/>
      <c r="N30" s="14"/>
      <c r="O30" s="1"/>
      <c r="P30" s="14"/>
      <c r="Q30" s="1">
        <f t="shared" si="0"/>
        <v>56362</v>
      </c>
    </row>
    <row r="31" spans="3:18" x14ac:dyDescent="0.25">
      <c r="C31" s="45" t="s">
        <v>20</v>
      </c>
      <c r="D31" s="49">
        <f t="shared" si="1"/>
        <v>50524</v>
      </c>
      <c r="F31" s="1">
        <f>645+360+20335</f>
        <v>21340</v>
      </c>
      <c r="G31" s="1">
        <f>817+418+27949</f>
        <v>29184</v>
      </c>
      <c r="H31" s="1"/>
      <c r="I31" s="1"/>
      <c r="J31" s="1"/>
      <c r="K31" s="1"/>
      <c r="L31" s="1"/>
      <c r="M31" s="1"/>
      <c r="N31" s="14"/>
      <c r="O31" s="1"/>
      <c r="P31" s="14"/>
      <c r="Q31" s="1">
        <f t="shared" si="0"/>
        <v>50524</v>
      </c>
      <c r="R31" s="4"/>
    </row>
    <row r="32" spans="3:18" x14ac:dyDescent="0.25">
      <c r="C32" s="45" t="s">
        <v>94</v>
      </c>
      <c r="D32" s="49">
        <f>+Q32</f>
        <v>2019</v>
      </c>
      <c r="F32" s="1"/>
      <c r="G32" s="1">
        <f>76+1943</f>
        <v>2019</v>
      </c>
      <c r="H32" s="1"/>
      <c r="I32" s="1"/>
      <c r="J32" s="1"/>
      <c r="K32" s="1"/>
      <c r="L32" s="1"/>
      <c r="M32" s="1"/>
      <c r="N32" s="87"/>
      <c r="O32" s="2"/>
      <c r="P32" s="87"/>
      <c r="Q32" s="1">
        <f>+F32+G32+H32+I32+J32+K32+L32+M32+N32+O32+P32</f>
        <v>2019</v>
      </c>
      <c r="R32" s="4"/>
    </row>
    <row r="33" spans="3:17" x14ac:dyDescent="0.25">
      <c r="C33" s="46" t="s">
        <v>71</v>
      </c>
      <c r="D33" s="50">
        <f t="shared" si="1"/>
        <v>53245</v>
      </c>
      <c r="F33" s="1">
        <f>261+21359+2728</f>
        <v>24348</v>
      </c>
      <c r="G33" s="1">
        <f>397+28500</f>
        <v>28897</v>
      </c>
      <c r="H33" s="1"/>
      <c r="I33" s="1"/>
      <c r="J33" s="1"/>
      <c r="K33" s="1"/>
      <c r="L33" s="1"/>
      <c r="M33" s="1"/>
      <c r="N33" s="14"/>
      <c r="O33" s="1"/>
      <c r="P33" s="14"/>
      <c r="Q33" s="1">
        <f t="shared" si="0"/>
        <v>53245</v>
      </c>
    </row>
    <row r="34" spans="3:17" x14ac:dyDescent="0.25">
      <c r="C34" s="45" t="s">
        <v>21</v>
      </c>
      <c r="D34" s="49">
        <f t="shared" si="1"/>
        <v>75625</v>
      </c>
      <c r="F34" s="1">
        <f>1545+27595</f>
        <v>29140</v>
      </c>
      <c r="G34" s="1">
        <f>2240+44245</f>
        <v>46485</v>
      </c>
      <c r="H34" s="1"/>
      <c r="I34" s="1"/>
      <c r="J34" s="1"/>
      <c r="K34" s="1"/>
      <c r="L34" s="1"/>
      <c r="M34" s="1"/>
      <c r="N34" s="14"/>
      <c r="O34" s="1"/>
      <c r="P34" s="14"/>
      <c r="Q34" s="1">
        <f t="shared" si="0"/>
        <v>75625</v>
      </c>
    </row>
    <row r="35" spans="3:17" x14ac:dyDescent="0.25">
      <c r="C35" s="46" t="s">
        <v>72</v>
      </c>
      <c r="D35" s="50">
        <f t="shared" si="1"/>
        <v>5808</v>
      </c>
      <c r="F35" s="1"/>
      <c r="G35" s="1">
        <f>428+5380</f>
        <v>5808</v>
      </c>
      <c r="H35" s="1"/>
      <c r="I35" s="1"/>
      <c r="J35" s="1"/>
      <c r="K35" s="1"/>
      <c r="L35" s="1"/>
      <c r="M35" s="1"/>
      <c r="N35" s="14"/>
      <c r="O35" s="12"/>
      <c r="P35" s="14"/>
      <c r="Q35" s="1">
        <f t="shared" si="0"/>
        <v>5808</v>
      </c>
    </row>
    <row r="36" spans="3:17" x14ac:dyDescent="0.25">
      <c r="C36" s="45" t="s">
        <v>59</v>
      </c>
      <c r="D36" s="49">
        <f t="shared" si="1"/>
        <v>34092</v>
      </c>
      <c r="F36" s="1">
        <f>228+13895</f>
        <v>14123</v>
      </c>
      <c r="G36" s="1">
        <f>318+19651</f>
        <v>19969</v>
      </c>
      <c r="H36" s="1"/>
      <c r="I36" s="1"/>
      <c r="J36" s="1"/>
      <c r="K36" s="1"/>
      <c r="L36" s="14"/>
      <c r="M36" s="1"/>
      <c r="N36" s="14"/>
      <c r="O36" s="1"/>
      <c r="P36" s="14"/>
      <c r="Q36" s="1">
        <f t="shared" si="0"/>
        <v>34092</v>
      </c>
    </row>
    <row r="37" spans="3:17" x14ac:dyDescent="0.25">
      <c r="C37" s="46" t="s">
        <v>61</v>
      </c>
      <c r="D37" s="50">
        <f t="shared" si="1"/>
        <v>24001</v>
      </c>
      <c r="F37" s="1">
        <f>375+10011</f>
        <v>10386</v>
      </c>
      <c r="G37" s="1">
        <f>485+13130</f>
        <v>13615</v>
      </c>
      <c r="H37" s="1"/>
      <c r="I37" s="1"/>
      <c r="J37" s="1"/>
      <c r="K37" s="1"/>
      <c r="L37" s="1"/>
      <c r="M37" s="1"/>
      <c r="N37" s="14"/>
      <c r="O37" s="1"/>
      <c r="P37" s="14"/>
      <c r="Q37" s="1">
        <f t="shared" si="0"/>
        <v>24001</v>
      </c>
    </row>
    <row r="38" spans="3:17" x14ac:dyDescent="0.25">
      <c r="C38" s="45" t="s">
        <v>43</v>
      </c>
      <c r="D38" s="49">
        <f t="shared" si="1"/>
        <v>38882</v>
      </c>
      <c r="F38" s="1">
        <f>270+15605</f>
        <v>15875</v>
      </c>
      <c r="G38" s="1">
        <f>414+22593</f>
        <v>23007</v>
      </c>
      <c r="H38" s="1"/>
      <c r="I38" s="1"/>
      <c r="J38" s="1"/>
      <c r="K38" s="1"/>
      <c r="L38" s="1"/>
      <c r="M38" s="1"/>
      <c r="N38" s="14"/>
      <c r="O38" s="1"/>
      <c r="P38" s="14"/>
      <c r="Q38" s="1">
        <f t="shared" si="0"/>
        <v>38882</v>
      </c>
    </row>
    <row r="39" spans="3:17" x14ac:dyDescent="0.25">
      <c r="C39" s="45" t="s">
        <v>86</v>
      </c>
      <c r="D39" s="49">
        <f t="shared" si="1"/>
        <v>19884</v>
      </c>
      <c r="F39" s="1">
        <f>240+6364</f>
        <v>6604</v>
      </c>
      <c r="G39" s="1">
        <f>321+12959</f>
        <v>13280</v>
      </c>
      <c r="H39" s="1"/>
      <c r="I39" s="1"/>
      <c r="J39" s="1"/>
      <c r="K39" s="1"/>
      <c r="L39" s="1"/>
      <c r="M39" s="1"/>
      <c r="N39" s="14"/>
      <c r="O39" s="1"/>
      <c r="P39" s="14"/>
      <c r="Q39" s="1">
        <f t="shared" si="0"/>
        <v>19884</v>
      </c>
    </row>
    <row r="40" spans="3:17" ht="15.75" customHeight="1" x14ac:dyDescent="0.25">
      <c r="C40" s="45" t="s">
        <v>90</v>
      </c>
      <c r="D40" s="49">
        <f>+Q40</f>
        <v>5352</v>
      </c>
      <c r="F40" s="1"/>
      <c r="G40" s="1">
        <f>90+5262</f>
        <v>5352</v>
      </c>
      <c r="H40" s="1"/>
      <c r="I40" s="1"/>
      <c r="J40" s="1"/>
      <c r="K40" s="1"/>
      <c r="L40" s="1"/>
      <c r="M40" s="1"/>
      <c r="N40" s="87"/>
      <c r="O40" s="2"/>
      <c r="P40" s="87"/>
      <c r="Q40" s="1">
        <f>+F40+G40+H40+I40+J40+K40+L40+M40+N40+O40+P40</f>
        <v>5352</v>
      </c>
    </row>
    <row r="41" spans="3:17" x14ac:dyDescent="0.25">
      <c r="C41" s="45" t="s">
        <v>91</v>
      </c>
      <c r="D41" s="49">
        <f>+Q41</f>
        <v>3000</v>
      </c>
      <c r="F41" s="1"/>
      <c r="G41" s="1">
        <f>114+2886</f>
        <v>3000</v>
      </c>
      <c r="H41" s="1"/>
      <c r="I41" s="1"/>
      <c r="J41" s="1"/>
      <c r="K41" s="1"/>
      <c r="L41" s="1"/>
      <c r="M41" s="1"/>
      <c r="N41" s="87"/>
      <c r="O41" s="2"/>
      <c r="P41" s="87"/>
      <c r="Q41" s="1">
        <f>+F41+G41+H41+I41+J41+K41+L41+M41+N41+O41+P41</f>
        <v>3000</v>
      </c>
    </row>
    <row r="42" spans="3:17" ht="14.25" customHeight="1" x14ac:dyDescent="0.25">
      <c r="C42" s="45" t="s">
        <v>92</v>
      </c>
      <c r="D42" s="49">
        <f>+Q42</f>
        <v>3245</v>
      </c>
      <c r="F42" s="1"/>
      <c r="G42" s="1">
        <f>75+3170</f>
        <v>3245</v>
      </c>
      <c r="H42" s="1"/>
      <c r="I42" s="1"/>
      <c r="J42" s="1"/>
      <c r="K42" s="1"/>
      <c r="L42" s="1"/>
      <c r="M42" s="1"/>
      <c r="N42" s="87"/>
      <c r="O42" s="2"/>
      <c r="P42" s="87"/>
      <c r="Q42" s="1">
        <f>+F42+G42+H42+I42+J42+K42+L42+M42+N42+O42+P42</f>
        <v>3245</v>
      </c>
    </row>
    <row r="43" spans="3:17" ht="14.25" customHeight="1" x14ac:dyDescent="0.25">
      <c r="C43" s="45" t="s">
        <v>93</v>
      </c>
      <c r="D43" s="49">
        <f>+Q43</f>
        <v>3165</v>
      </c>
      <c r="F43" s="1"/>
      <c r="G43" s="1">
        <f>73+3092</f>
        <v>3165</v>
      </c>
      <c r="H43" s="1"/>
      <c r="I43" s="1"/>
      <c r="J43" s="1"/>
      <c r="K43" s="1"/>
      <c r="L43" s="1"/>
      <c r="M43" s="1"/>
      <c r="N43" s="87"/>
      <c r="O43" s="2"/>
      <c r="P43" s="87"/>
      <c r="Q43" s="1">
        <f>+F43+G43+H43+I43+J43+K43+L43+M43+N43+O43+P43</f>
        <v>3165</v>
      </c>
    </row>
    <row r="44" spans="3:17" x14ac:dyDescent="0.25">
      <c r="C44" s="46" t="s">
        <v>22</v>
      </c>
      <c r="D44" s="50">
        <f t="shared" si="1"/>
        <v>66582</v>
      </c>
      <c r="F44" s="1">
        <f>1788+520+26790</f>
        <v>29098</v>
      </c>
      <c r="G44" s="1">
        <f>2114+668+34702</f>
        <v>37484</v>
      </c>
      <c r="H44" s="1"/>
      <c r="I44" s="1"/>
      <c r="J44" s="1"/>
      <c r="K44" s="1"/>
      <c r="L44" s="1"/>
      <c r="M44" s="1"/>
      <c r="N44" s="14"/>
      <c r="O44" s="1"/>
      <c r="P44" s="14"/>
      <c r="Q44" s="1">
        <f t="shared" si="0"/>
        <v>66582</v>
      </c>
    </row>
    <row r="45" spans="3:17" x14ac:dyDescent="0.25">
      <c r="C45" s="45" t="s">
        <v>73</v>
      </c>
      <c r="D45" s="49">
        <f t="shared" si="1"/>
        <v>2375</v>
      </c>
      <c r="E45" s="10"/>
      <c r="F45" s="1"/>
      <c r="G45" s="1">
        <f>105+2270</f>
        <v>2375</v>
      </c>
      <c r="H45" s="1"/>
      <c r="I45" s="1"/>
      <c r="J45" s="1"/>
      <c r="K45" s="1"/>
      <c r="L45" s="1"/>
      <c r="M45" s="1"/>
      <c r="N45" s="14"/>
      <c r="O45" s="1"/>
      <c r="P45" s="14"/>
      <c r="Q45" s="1">
        <f t="shared" si="0"/>
        <v>2375</v>
      </c>
    </row>
    <row r="46" spans="3:17" ht="13.5" customHeight="1" x14ac:dyDescent="0.25">
      <c r="C46" s="46" t="s">
        <v>62</v>
      </c>
      <c r="D46" s="50">
        <f t="shared" si="1"/>
        <v>9876</v>
      </c>
      <c r="F46" s="1">
        <f>131+4234</f>
        <v>4365</v>
      </c>
      <c r="G46" s="1">
        <f>155+5356</f>
        <v>5511</v>
      </c>
      <c r="H46" s="1"/>
      <c r="I46" s="1"/>
      <c r="J46" s="1"/>
      <c r="K46" s="1"/>
      <c r="L46" s="1"/>
      <c r="M46" s="1"/>
      <c r="N46" s="14"/>
      <c r="O46" s="1"/>
      <c r="P46" s="14"/>
      <c r="Q46" s="1">
        <f t="shared" si="0"/>
        <v>9876</v>
      </c>
    </row>
    <row r="47" spans="3:17" x14ac:dyDescent="0.25">
      <c r="C47" s="45" t="s">
        <v>24</v>
      </c>
      <c r="D47" s="49">
        <f t="shared" si="1"/>
        <v>12045</v>
      </c>
      <c r="F47" s="1">
        <f>150+5155</f>
        <v>5305</v>
      </c>
      <c r="G47" s="1">
        <f>190+6550</f>
        <v>6740</v>
      </c>
      <c r="H47" s="1"/>
      <c r="I47" s="1"/>
      <c r="J47" s="1"/>
      <c r="K47" s="1"/>
      <c r="L47" s="1"/>
      <c r="M47" s="1"/>
      <c r="N47" s="14"/>
      <c r="O47" s="1"/>
      <c r="P47" s="14"/>
      <c r="Q47" s="1">
        <f t="shared" si="0"/>
        <v>12045</v>
      </c>
    </row>
    <row r="48" spans="3:17" ht="14.25" customHeight="1" x14ac:dyDescent="0.25">
      <c r="C48" s="46" t="s">
        <v>60</v>
      </c>
      <c r="D48" s="50">
        <f t="shared" si="1"/>
        <v>9991</v>
      </c>
      <c r="F48" s="1">
        <f>120+4292</f>
        <v>4412</v>
      </c>
      <c r="G48" s="1">
        <f>152+5427</f>
        <v>5579</v>
      </c>
      <c r="H48" s="1"/>
      <c r="I48" s="1"/>
      <c r="J48" s="1"/>
      <c r="K48" s="1"/>
      <c r="L48" s="1"/>
      <c r="M48" s="1"/>
      <c r="N48" s="14"/>
      <c r="O48" s="1"/>
      <c r="P48" s="14"/>
      <c r="Q48" s="1">
        <f t="shared" si="0"/>
        <v>9991</v>
      </c>
    </row>
    <row r="49" spans="3:17" x14ac:dyDescent="0.25">
      <c r="C49" s="45" t="s">
        <v>23</v>
      </c>
      <c r="D49" s="49">
        <f t="shared" si="1"/>
        <v>32679</v>
      </c>
      <c r="F49" s="1">
        <f>363+14024</f>
        <v>14387</v>
      </c>
      <c r="G49" s="1">
        <f>471+17821</f>
        <v>18292</v>
      </c>
      <c r="H49" s="1"/>
      <c r="I49" s="1"/>
      <c r="J49" s="1"/>
      <c r="K49" s="1"/>
      <c r="L49" s="1"/>
      <c r="M49" s="1"/>
      <c r="N49" s="14"/>
      <c r="O49" s="1"/>
      <c r="P49" s="14"/>
      <c r="Q49" s="1">
        <f t="shared" si="0"/>
        <v>32679</v>
      </c>
    </row>
    <row r="50" spans="3:17" ht="15.75" x14ac:dyDescent="0.25">
      <c r="C50" s="47" t="s">
        <v>57</v>
      </c>
      <c r="D50" s="50">
        <f t="shared" si="1"/>
        <v>60081</v>
      </c>
      <c r="F50" s="1">
        <f>462+25253</f>
        <v>25715</v>
      </c>
      <c r="G50" s="1">
        <f>570+33566+230</f>
        <v>34366</v>
      </c>
      <c r="H50" s="1"/>
      <c r="I50" s="1"/>
      <c r="J50" s="1"/>
      <c r="K50" s="1"/>
      <c r="L50" s="1"/>
      <c r="M50" s="1"/>
      <c r="N50" s="14"/>
      <c r="O50" s="1"/>
      <c r="P50" s="14"/>
      <c r="Q50" s="1">
        <f t="shared" si="0"/>
        <v>60081</v>
      </c>
    </row>
    <row r="51" spans="3:17" x14ac:dyDescent="0.25">
      <c r="C51" s="45" t="s">
        <v>25</v>
      </c>
      <c r="D51" s="49">
        <f t="shared" si="1"/>
        <v>59319</v>
      </c>
      <c r="F51" s="1">
        <f>864+24868</f>
        <v>25732</v>
      </c>
      <c r="G51" s="1">
        <f>1104+32483</f>
        <v>33587</v>
      </c>
      <c r="H51" s="1"/>
      <c r="I51" s="1"/>
      <c r="J51" s="1"/>
      <c r="K51" s="1"/>
      <c r="L51" s="1"/>
      <c r="M51" s="1"/>
      <c r="N51" s="14"/>
      <c r="O51" s="1"/>
      <c r="P51" s="14"/>
      <c r="Q51" s="1">
        <f t="shared" si="0"/>
        <v>59319</v>
      </c>
    </row>
    <row r="52" spans="3:17" x14ac:dyDescent="0.25">
      <c r="C52" s="46" t="s">
        <v>26</v>
      </c>
      <c r="D52" s="50">
        <f t="shared" si="1"/>
        <v>33021</v>
      </c>
      <c r="F52" s="1">
        <f>272+16420</f>
        <v>16692</v>
      </c>
      <c r="G52" s="1">
        <f>340+15989</f>
        <v>16329</v>
      </c>
      <c r="H52" s="1"/>
      <c r="I52" s="1"/>
      <c r="J52" s="1"/>
      <c r="K52" s="1"/>
      <c r="L52" s="1"/>
      <c r="M52" s="1"/>
      <c r="N52" s="14"/>
      <c r="O52" s="1"/>
      <c r="P52" s="14"/>
      <c r="Q52" s="1">
        <f t="shared" si="0"/>
        <v>33021</v>
      </c>
    </row>
    <row r="53" spans="3:17" x14ac:dyDescent="0.25">
      <c r="C53" s="45" t="s">
        <v>34</v>
      </c>
      <c r="D53" s="49">
        <f t="shared" si="1"/>
        <v>41033</v>
      </c>
      <c r="F53" s="1">
        <f>225+16451</f>
        <v>16676</v>
      </c>
      <c r="G53" s="1">
        <f>285+24072</f>
        <v>24357</v>
      </c>
      <c r="H53" s="1"/>
      <c r="I53" s="1"/>
      <c r="J53" s="1"/>
      <c r="K53" s="1"/>
      <c r="L53" s="1"/>
      <c r="M53" s="1"/>
      <c r="N53" s="14"/>
      <c r="O53" s="1"/>
      <c r="P53" s="14"/>
      <c r="Q53" s="1">
        <f t="shared" si="0"/>
        <v>41033</v>
      </c>
    </row>
    <row r="54" spans="3:17" ht="15" customHeight="1" x14ac:dyDescent="0.25">
      <c r="C54" s="46" t="s">
        <v>42</v>
      </c>
      <c r="D54" s="50">
        <f t="shared" si="1"/>
        <v>25108</v>
      </c>
      <c r="F54" s="1">
        <f>475+9728</f>
        <v>10203</v>
      </c>
      <c r="G54" s="1">
        <f>552+14353</f>
        <v>14905</v>
      </c>
      <c r="H54" s="1"/>
      <c r="I54" s="1"/>
      <c r="J54" s="1"/>
      <c r="K54" s="1"/>
      <c r="L54" s="1"/>
      <c r="M54" s="1"/>
      <c r="N54" s="14"/>
      <c r="O54" s="1"/>
      <c r="P54" s="14"/>
      <c r="Q54" s="1">
        <f t="shared" si="0"/>
        <v>25108</v>
      </c>
    </row>
    <row r="55" spans="3:17" ht="15" customHeight="1" x14ac:dyDescent="0.25">
      <c r="C55" s="45" t="s">
        <v>58</v>
      </c>
      <c r="D55" s="49">
        <f t="shared" si="1"/>
        <v>59844</v>
      </c>
      <c r="F55" s="1">
        <f>340+28715</f>
        <v>29055</v>
      </c>
      <c r="G55" s="1">
        <f>494+30295</f>
        <v>30789</v>
      </c>
      <c r="H55" s="1"/>
      <c r="I55" s="1"/>
      <c r="J55" s="1"/>
      <c r="K55" s="1"/>
      <c r="L55" s="1"/>
      <c r="M55" s="1"/>
      <c r="N55" s="14"/>
      <c r="O55" s="1"/>
      <c r="P55" s="14"/>
      <c r="Q55" s="1">
        <f t="shared" si="0"/>
        <v>59844</v>
      </c>
    </row>
    <row r="56" spans="3:17" x14ac:dyDescent="0.25">
      <c r="C56" s="46" t="s">
        <v>40</v>
      </c>
      <c r="D56" s="50">
        <f t="shared" si="1"/>
        <v>18026</v>
      </c>
      <c r="F56" s="1">
        <f>480+7105</f>
        <v>7585</v>
      </c>
      <c r="G56" s="1">
        <f>608+9833</f>
        <v>10441</v>
      </c>
      <c r="H56" s="1"/>
      <c r="I56" s="1"/>
      <c r="J56" s="1"/>
      <c r="K56" s="1"/>
      <c r="L56" s="1"/>
      <c r="M56" s="1"/>
      <c r="N56" s="14"/>
      <c r="O56" s="1"/>
      <c r="P56" s="14"/>
      <c r="Q56" s="1">
        <f t="shared" si="0"/>
        <v>18026</v>
      </c>
    </row>
    <row r="57" spans="3:17" ht="13.5" customHeight="1" x14ac:dyDescent="0.25">
      <c r="C57" s="45" t="s">
        <v>29</v>
      </c>
      <c r="D57" s="49">
        <f t="shared" si="1"/>
        <v>51836</v>
      </c>
      <c r="F57" s="1">
        <f>241+22040</f>
        <v>22281</v>
      </c>
      <c r="G57" s="1">
        <f>322+29233</f>
        <v>29555</v>
      </c>
      <c r="H57" s="1"/>
      <c r="I57" s="1"/>
      <c r="J57" s="1"/>
      <c r="K57" s="1"/>
      <c r="L57" s="1"/>
      <c r="M57" s="1"/>
      <c r="N57" s="14"/>
      <c r="O57" s="1"/>
      <c r="P57" s="14"/>
      <c r="Q57" s="1">
        <f t="shared" si="0"/>
        <v>51836</v>
      </c>
    </row>
    <row r="58" spans="3:17" ht="14.25" customHeight="1" x14ac:dyDescent="0.25">
      <c r="C58" s="46" t="s">
        <v>27</v>
      </c>
      <c r="D58" s="50">
        <f t="shared" si="1"/>
        <v>42341</v>
      </c>
      <c r="F58" s="1">
        <f>476+16179+1000</f>
        <v>17655</v>
      </c>
      <c r="G58" s="1">
        <f>597+24089</f>
        <v>24686</v>
      </c>
      <c r="H58" s="1"/>
      <c r="I58" s="1"/>
      <c r="J58" s="1"/>
      <c r="K58" s="1"/>
      <c r="L58" s="1"/>
      <c r="M58" s="1"/>
      <c r="N58" s="14"/>
      <c r="O58" s="1"/>
      <c r="P58" s="14"/>
      <c r="Q58" s="1">
        <f t="shared" si="0"/>
        <v>42341</v>
      </c>
    </row>
    <row r="59" spans="3:17" x14ac:dyDescent="0.25">
      <c r="C59" s="45" t="s">
        <v>33</v>
      </c>
      <c r="D59" s="49">
        <f t="shared" si="1"/>
        <v>37460</v>
      </c>
      <c r="F59" s="1">
        <f>225+16021</f>
        <v>16246</v>
      </c>
      <c r="G59" s="1">
        <f>285+20929</f>
        <v>21214</v>
      </c>
      <c r="H59" s="1"/>
      <c r="I59" s="1"/>
      <c r="J59" s="1"/>
      <c r="K59" s="1"/>
      <c r="L59" s="1"/>
      <c r="M59" s="1"/>
      <c r="N59" s="14"/>
      <c r="O59" s="1"/>
      <c r="P59" s="14"/>
      <c r="Q59" s="1">
        <f t="shared" si="0"/>
        <v>37460</v>
      </c>
    </row>
    <row r="60" spans="3:17" ht="15" customHeight="1" x14ac:dyDescent="0.25">
      <c r="C60" s="46" t="s">
        <v>28</v>
      </c>
      <c r="D60" s="50">
        <f t="shared" si="1"/>
        <v>35654</v>
      </c>
      <c r="F60" s="1">
        <f>270+13982</f>
        <v>14252</v>
      </c>
      <c r="G60" s="1">
        <f>392+21010</f>
        <v>21402</v>
      </c>
      <c r="H60" s="1"/>
      <c r="I60" s="1"/>
      <c r="J60" s="1"/>
      <c r="K60" s="1"/>
      <c r="L60" s="1"/>
      <c r="M60" s="1"/>
      <c r="N60" s="14"/>
      <c r="O60" s="1"/>
      <c r="P60" s="14"/>
      <c r="Q60" s="1">
        <f t="shared" si="0"/>
        <v>35654</v>
      </c>
    </row>
    <row r="61" spans="3:17" ht="15.75" customHeight="1" x14ac:dyDescent="0.25">
      <c r="C61" s="45" t="s">
        <v>37</v>
      </c>
      <c r="D61" s="49">
        <f t="shared" si="1"/>
        <v>68914</v>
      </c>
      <c r="F61" s="1">
        <f>407+28559</f>
        <v>28966</v>
      </c>
      <c r="G61" s="1">
        <f>495+38853+600</f>
        <v>39948</v>
      </c>
      <c r="H61" s="1"/>
      <c r="I61" s="1"/>
      <c r="J61" s="1"/>
      <c r="K61" s="1"/>
      <c r="L61" s="1"/>
      <c r="M61" s="1"/>
      <c r="N61" s="14"/>
      <c r="O61" s="1"/>
      <c r="P61" s="14"/>
      <c r="Q61" s="1">
        <f t="shared" si="0"/>
        <v>68914</v>
      </c>
    </row>
    <row r="62" spans="3:17" ht="16.5" customHeight="1" x14ac:dyDescent="0.25">
      <c r="C62" s="45" t="s">
        <v>97</v>
      </c>
      <c r="D62" s="49"/>
      <c r="F62" s="1"/>
      <c r="G62" s="1">
        <f>259+1517</f>
        <v>1776</v>
      </c>
      <c r="H62" s="1"/>
      <c r="I62" s="1"/>
      <c r="J62" s="1"/>
      <c r="K62" s="1"/>
      <c r="L62" s="1"/>
      <c r="M62" s="1"/>
      <c r="N62" s="14"/>
      <c r="O62" s="1"/>
      <c r="P62" s="14"/>
      <c r="Q62" s="1">
        <f t="shared" si="0"/>
        <v>1776</v>
      </c>
    </row>
    <row r="63" spans="3:17" ht="12.75" customHeight="1" x14ac:dyDescent="0.25">
      <c r="C63" s="46" t="s">
        <v>39</v>
      </c>
      <c r="D63" s="50">
        <f t="shared" si="1"/>
        <v>56882</v>
      </c>
      <c r="F63" s="1">
        <f>448+19927</f>
        <v>20375</v>
      </c>
      <c r="G63" s="1">
        <f>608+35699+200</f>
        <v>36507</v>
      </c>
      <c r="H63" s="1"/>
      <c r="I63" s="1"/>
      <c r="J63" s="1"/>
      <c r="K63" s="1"/>
      <c r="L63" s="1"/>
      <c r="M63" s="1"/>
      <c r="N63" s="14"/>
      <c r="O63" s="1"/>
      <c r="P63" s="14"/>
      <c r="Q63" s="1">
        <f t="shared" si="0"/>
        <v>56882</v>
      </c>
    </row>
    <row r="64" spans="3:17" ht="15" customHeight="1" x14ac:dyDescent="0.25">
      <c r="C64" s="45" t="s">
        <v>70</v>
      </c>
      <c r="D64" s="49">
        <f t="shared" si="1"/>
        <v>47834</v>
      </c>
      <c r="F64" s="1">
        <f>220+20369</f>
        <v>20589</v>
      </c>
      <c r="G64" s="1">
        <f>278+26967</f>
        <v>27245</v>
      </c>
      <c r="H64" s="1"/>
      <c r="I64" s="1"/>
      <c r="J64" s="1"/>
      <c r="K64" s="1"/>
      <c r="L64" s="1"/>
      <c r="M64" s="1"/>
      <c r="N64" s="14"/>
      <c r="O64" s="1"/>
      <c r="P64" s="14"/>
      <c r="Q64" s="1">
        <f t="shared" si="0"/>
        <v>47834</v>
      </c>
    </row>
    <row r="65" spans="3:19" ht="12.75" customHeight="1" x14ac:dyDescent="0.25">
      <c r="C65" s="46" t="s">
        <v>30</v>
      </c>
      <c r="D65" s="50">
        <f t="shared" si="1"/>
        <v>46561</v>
      </c>
      <c r="F65" s="1">
        <f>363+19034</f>
        <v>19397</v>
      </c>
      <c r="G65" s="1">
        <f>484+26680</f>
        <v>27164</v>
      </c>
      <c r="H65" s="1"/>
      <c r="I65" s="1"/>
      <c r="J65" s="1"/>
      <c r="K65" s="1"/>
      <c r="L65" s="1"/>
      <c r="M65" s="1"/>
      <c r="N65" s="14"/>
      <c r="O65" s="1"/>
      <c r="P65" s="14"/>
      <c r="Q65" s="1">
        <f t="shared" si="0"/>
        <v>46561</v>
      </c>
      <c r="S65" s="10"/>
    </row>
    <row r="66" spans="3:19" ht="13.5" customHeight="1" x14ac:dyDescent="0.25">
      <c r="C66" s="45" t="s">
        <v>31</v>
      </c>
      <c r="D66" s="49">
        <f t="shared" si="1"/>
        <v>28883</v>
      </c>
      <c r="F66" s="1">
        <f>510+11663</f>
        <v>12173</v>
      </c>
      <c r="G66" s="1">
        <f>646+16064</f>
        <v>16710</v>
      </c>
      <c r="H66" s="1"/>
      <c r="I66" s="1"/>
      <c r="J66" s="1"/>
      <c r="K66" s="1"/>
      <c r="L66" s="1"/>
      <c r="M66" s="1"/>
      <c r="N66" s="14"/>
      <c r="O66" s="1"/>
      <c r="P66" s="14"/>
      <c r="Q66" s="1">
        <f t="shared" si="0"/>
        <v>28883</v>
      </c>
      <c r="S66" s="4"/>
    </row>
    <row r="67" spans="3:19" x14ac:dyDescent="0.25">
      <c r="C67" s="41" t="s">
        <v>32</v>
      </c>
      <c r="D67" s="50">
        <f t="shared" si="1"/>
        <v>55124</v>
      </c>
      <c r="F67" s="1">
        <f>343+23204</f>
        <v>23547</v>
      </c>
      <c r="G67" s="1">
        <f>415+31062+100</f>
        <v>31577</v>
      </c>
      <c r="H67" s="1"/>
      <c r="I67" s="1"/>
      <c r="J67" s="1"/>
      <c r="K67" s="1"/>
      <c r="L67" s="1"/>
      <c r="M67" s="1"/>
      <c r="N67" s="14"/>
      <c r="O67" s="1"/>
      <c r="P67" s="14"/>
      <c r="Q67" s="1">
        <f t="shared" si="0"/>
        <v>55124</v>
      </c>
    </row>
    <row r="68" spans="3:19" x14ac:dyDescent="0.25">
      <c r="C68" s="45" t="s">
        <v>75</v>
      </c>
      <c r="D68" s="49">
        <f t="shared" si="1"/>
        <v>43322</v>
      </c>
      <c r="F68" s="1">
        <f>300+18102</f>
        <v>18402</v>
      </c>
      <c r="G68" s="1">
        <f>380+24540</f>
        <v>24920</v>
      </c>
      <c r="H68" s="1"/>
      <c r="I68" s="1"/>
      <c r="J68" s="1"/>
      <c r="K68" s="1"/>
      <c r="L68" s="1"/>
      <c r="M68" s="1"/>
      <c r="N68" s="14"/>
      <c r="O68" s="1"/>
      <c r="P68" s="14"/>
      <c r="Q68" s="1">
        <f t="shared" si="0"/>
        <v>43322</v>
      </c>
    </row>
    <row r="69" spans="3:19" x14ac:dyDescent="0.25">
      <c r="C69" s="46" t="s">
        <v>38</v>
      </c>
      <c r="D69" s="50">
        <f t="shared" si="1"/>
        <v>42575</v>
      </c>
      <c r="F69" s="1">
        <f>300+18014</f>
        <v>18314</v>
      </c>
      <c r="G69" s="1">
        <f>380+23881</f>
        <v>24261</v>
      </c>
      <c r="H69" s="1"/>
      <c r="I69" s="1"/>
      <c r="J69" s="1"/>
      <c r="K69" s="1"/>
      <c r="L69" s="1"/>
      <c r="M69" s="1"/>
      <c r="N69" s="14"/>
      <c r="O69" s="1"/>
      <c r="P69" s="14"/>
      <c r="Q69" s="1">
        <f t="shared" si="0"/>
        <v>42575</v>
      </c>
    </row>
    <row r="70" spans="3:19" x14ac:dyDescent="0.25">
      <c r="C70" s="45" t="s">
        <v>35</v>
      </c>
      <c r="D70" s="49">
        <f t="shared" si="1"/>
        <v>21059</v>
      </c>
      <c r="F70" s="1">
        <f>470+8703</f>
        <v>9173</v>
      </c>
      <c r="G70" s="1">
        <f>666+10920+300</f>
        <v>11886</v>
      </c>
      <c r="H70" s="1"/>
      <c r="I70" s="1"/>
      <c r="J70" s="1"/>
      <c r="K70" s="1"/>
      <c r="L70" s="1"/>
      <c r="M70" s="1"/>
      <c r="N70" s="14"/>
      <c r="O70" s="1"/>
      <c r="P70" s="14"/>
      <c r="Q70" s="1">
        <f t="shared" si="0"/>
        <v>21059</v>
      </c>
    </row>
    <row r="71" spans="3:19" x14ac:dyDescent="0.25">
      <c r="C71" s="46" t="s">
        <v>65</v>
      </c>
      <c r="D71" s="50">
        <f t="shared" si="1"/>
        <v>39822</v>
      </c>
      <c r="F71" s="1">
        <f>195+17667</f>
        <v>17862</v>
      </c>
      <c r="G71" s="1">
        <f>212+21748</f>
        <v>21960</v>
      </c>
      <c r="H71" s="1"/>
      <c r="I71" s="1"/>
      <c r="J71" s="1"/>
      <c r="K71" s="1"/>
      <c r="L71" s="1"/>
      <c r="M71" s="1"/>
      <c r="N71" s="14"/>
      <c r="O71" s="1"/>
      <c r="P71" s="14"/>
      <c r="Q71" s="1">
        <f t="shared" si="0"/>
        <v>39822</v>
      </c>
    </row>
    <row r="72" spans="3:19" x14ac:dyDescent="0.25">
      <c r="C72" s="45" t="s">
        <v>36</v>
      </c>
      <c r="D72" s="49">
        <f t="shared" si="1"/>
        <v>54448</v>
      </c>
      <c r="F72" s="1">
        <f>495+23245</f>
        <v>23740</v>
      </c>
      <c r="G72" s="1">
        <f>627+30081</f>
        <v>30708</v>
      </c>
      <c r="H72" s="1"/>
      <c r="I72" s="1"/>
      <c r="J72" s="1"/>
      <c r="K72" s="1"/>
      <c r="L72" s="1"/>
      <c r="M72" s="1"/>
      <c r="N72" s="14"/>
      <c r="O72" s="1"/>
      <c r="P72" s="14"/>
      <c r="Q72" s="1">
        <f t="shared" si="0"/>
        <v>54448</v>
      </c>
    </row>
    <row r="73" spans="3:19" x14ac:dyDescent="0.25">
      <c r="C73" s="46" t="s">
        <v>69</v>
      </c>
      <c r="D73" s="50">
        <f t="shared" si="1"/>
        <v>42500</v>
      </c>
      <c r="F73" s="1">
        <f>405+18992+900</f>
        <v>20297</v>
      </c>
      <c r="G73" s="1">
        <f>513+20290+1400</f>
        <v>22203</v>
      </c>
      <c r="H73" s="1"/>
      <c r="I73" s="1"/>
      <c r="J73" s="1"/>
      <c r="K73" s="1"/>
      <c r="L73" s="1"/>
      <c r="M73" s="1"/>
      <c r="N73" s="14"/>
      <c r="O73" s="1"/>
      <c r="P73" s="14"/>
      <c r="Q73" s="1">
        <f t="shared" si="0"/>
        <v>42500</v>
      </c>
    </row>
    <row r="74" spans="3:19" x14ac:dyDescent="0.25">
      <c r="C74" s="45" t="s">
        <v>41</v>
      </c>
      <c r="D74" s="49">
        <f t="shared" si="1"/>
        <v>42874</v>
      </c>
      <c r="F74" s="1">
        <f>600+17937</f>
        <v>18537</v>
      </c>
      <c r="G74" s="1">
        <f>880+23457</f>
        <v>24337</v>
      </c>
      <c r="H74" s="1"/>
      <c r="I74" s="1"/>
      <c r="J74" s="1"/>
      <c r="K74" s="1"/>
      <c r="L74" s="1"/>
      <c r="M74" s="1"/>
      <c r="N74" s="14"/>
      <c r="O74" s="1"/>
      <c r="P74" s="14"/>
      <c r="Q74" s="1">
        <f t="shared" si="0"/>
        <v>42874</v>
      </c>
    </row>
    <row r="75" spans="3:19" x14ac:dyDescent="0.25">
      <c r="C75" s="45"/>
      <c r="D75" s="49"/>
      <c r="F75" s="1"/>
      <c r="G75" s="1"/>
      <c r="H75" s="1"/>
      <c r="I75" s="1"/>
      <c r="J75" s="1"/>
      <c r="K75" s="1"/>
      <c r="L75" s="1"/>
      <c r="M75" s="1"/>
      <c r="N75" s="87"/>
      <c r="O75" s="2"/>
      <c r="P75" s="87"/>
      <c r="Q75" s="1">
        <f t="shared" ref="Q75:Q77" si="3">+F75+G75+H75+I75+J75+K75+L75+M75+N75+O75+P75</f>
        <v>0</v>
      </c>
    </row>
    <row r="76" spans="3:19" x14ac:dyDescent="0.25">
      <c r="C76" s="45"/>
      <c r="D76" s="49"/>
      <c r="F76" s="1"/>
      <c r="G76" s="1"/>
      <c r="H76" s="1"/>
      <c r="I76" s="1"/>
      <c r="J76" s="1"/>
      <c r="K76" s="1"/>
      <c r="L76" s="1"/>
      <c r="M76" s="1"/>
      <c r="N76" s="87"/>
      <c r="O76" s="2"/>
      <c r="P76" s="87"/>
      <c r="Q76" s="1">
        <f t="shared" si="3"/>
        <v>0</v>
      </c>
    </row>
    <row r="77" spans="3:19" ht="15.75" customHeight="1" x14ac:dyDescent="0.25">
      <c r="C77" s="41" t="s">
        <v>44</v>
      </c>
      <c r="D77" s="50">
        <f>SUM(D7:D74)</f>
        <v>3532936</v>
      </c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1">
        <f t="shared" si="3"/>
        <v>0</v>
      </c>
    </row>
    <row r="78" spans="3:19" ht="15.75" thickBot="1" x14ac:dyDescent="0.3">
      <c r="C78" s="42" t="s">
        <v>45</v>
      </c>
      <c r="D78" s="51">
        <f>D77+D5</f>
        <v>3926283</v>
      </c>
      <c r="F78" s="15">
        <f t="shared" ref="F78:Q78" si="4">SUM(F7:F77)</f>
        <v>1455930</v>
      </c>
      <c r="G78" s="15">
        <f t="shared" si="4"/>
        <v>2078782</v>
      </c>
      <c r="H78" s="15">
        <f t="shared" si="4"/>
        <v>0</v>
      </c>
      <c r="I78" s="15">
        <f t="shared" si="4"/>
        <v>0</v>
      </c>
      <c r="J78" s="15">
        <f t="shared" si="4"/>
        <v>0</v>
      </c>
      <c r="K78" s="15">
        <f t="shared" si="4"/>
        <v>0</v>
      </c>
      <c r="L78" s="15">
        <f t="shared" si="4"/>
        <v>0</v>
      </c>
      <c r="M78" s="15">
        <f t="shared" si="4"/>
        <v>0</v>
      </c>
      <c r="N78" s="16">
        <f t="shared" si="4"/>
        <v>0</v>
      </c>
      <c r="O78" s="16">
        <f t="shared" si="4"/>
        <v>0</v>
      </c>
      <c r="P78" s="16">
        <f t="shared" si="4"/>
        <v>0</v>
      </c>
      <c r="Q78" s="15">
        <f t="shared" si="4"/>
        <v>3534712</v>
      </c>
      <c r="R78" s="10"/>
    </row>
    <row r="79" spans="3:19" x14ac:dyDescent="0.25">
      <c r="C79" s="43"/>
      <c r="D79" s="52">
        <f>SUM(D7:D74)</f>
        <v>3532936</v>
      </c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3:19" ht="15.75" thickBot="1" x14ac:dyDescent="0.3">
      <c r="D80" s="44"/>
      <c r="F80" s="84">
        <f>F5+F78</f>
        <v>1646818</v>
      </c>
      <c r="G80" s="84">
        <f>G5+G78</f>
        <v>2281241</v>
      </c>
      <c r="H80" s="84">
        <f>H5+H78</f>
        <v>0</v>
      </c>
      <c r="I80" s="84">
        <f>I5+I78</f>
        <v>0</v>
      </c>
      <c r="J80" s="84">
        <f>J78+J6</f>
        <v>0</v>
      </c>
      <c r="K80" s="84">
        <f>K78+K6</f>
        <v>0</v>
      </c>
      <c r="L80" s="85">
        <f t="shared" ref="L80:Q80" si="5">+L6+L78</f>
        <v>0</v>
      </c>
      <c r="M80" s="85">
        <f t="shared" si="5"/>
        <v>0</v>
      </c>
      <c r="N80" s="84">
        <f t="shared" si="5"/>
        <v>0</v>
      </c>
      <c r="O80" s="84">
        <f t="shared" si="5"/>
        <v>0</v>
      </c>
      <c r="P80" s="84">
        <f t="shared" si="5"/>
        <v>0</v>
      </c>
      <c r="Q80" s="3">
        <f t="shared" si="5"/>
        <v>3928059</v>
      </c>
      <c r="R80" s="10"/>
    </row>
    <row r="81" spans="4:25" ht="17.25" customHeight="1" x14ac:dyDescent="0.25">
      <c r="D81" s="53"/>
      <c r="E81" t="s">
        <v>56</v>
      </c>
      <c r="F81" s="34">
        <v>76.23</v>
      </c>
      <c r="G81" s="34">
        <v>76.39</v>
      </c>
      <c r="H81" s="34" t="e">
        <f t="shared" ref="H81:J81" si="6">+H82/H80</f>
        <v>#DIV/0!</v>
      </c>
      <c r="I81" s="34" t="e">
        <f t="shared" si="6"/>
        <v>#DIV/0!</v>
      </c>
      <c r="J81" s="34" t="e">
        <f t="shared" si="6"/>
        <v>#DIV/0!</v>
      </c>
      <c r="K81" s="34" t="e">
        <f>+K82/K80</f>
        <v>#DIV/0!</v>
      </c>
      <c r="L81" s="34" t="e">
        <f>+L82/L80</f>
        <v>#DIV/0!</v>
      </c>
      <c r="M81" s="34">
        <v>50.18</v>
      </c>
      <c r="N81" s="34" t="e">
        <f>+N82/N80</f>
        <v>#DIV/0!</v>
      </c>
      <c r="O81" s="35" t="e">
        <f>+O82/O80</f>
        <v>#DIV/0!</v>
      </c>
      <c r="P81" s="53" t="e">
        <f>+P82/P80</f>
        <v>#DIV/0!</v>
      </c>
      <c r="Q81" s="33"/>
      <c r="U81" s="55"/>
      <c r="V81" s="56"/>
      <c r="W81" s="57"/>
    </row>
    <row r="82" spans="4:25" ht="15.75" x14ac:dyDescent="0.25">
      <c r="D82" s="44"/>
      <c r="F82" s="5">
        <f>F81*F78</f>
        <v>110985543.90000001</v>
      </c>
      <c r="G82" s="7">
        <f>G78*G81</f>
        <v>158798156.97999999</v>
      </c>
      <c r="H82" s="5"/>
      <c r="I82" s="5"/>
      <c r="J82" s="5"/>
      <c r="K82" s="5"/>
      <c r="L82" s="5"/>
      <c r="M82" s="19"/>
      <c r="N82" s="19"/>
      <c r="O82" s="19"/>
      <c r="P82" s="19"/>
      <c r="Q82" s="84"/>
      <c r="R82" s="9"/>
      <c r="U82" s="58"/>
      <c r="V82" s="59"/>
      <c r="W82" s="60"/>
    </row>
    <row r="83" spans="4:25" x14ac:dyDescent="0.25">
      <c r="U83" s="61"/>
      <c r="V83" s="62"/>
      <c r="W83" s="60"/>
    </row>
    <row r="84" spans="4:25" ht="15.75" thickBot="1" x14ac:dyDescent="0.3">
      <c r="D84" s="44"/>
      <c r="E84" s="81" t="s">
        <v>87</v>
      </c>
      <c r="F84" s="10">
        <f>65*50299+30*8265+45*12530+119794*76.23</f>
        <v>13213131.620000001</v>
      </c>
      <c r="G84" s="10">
        <f>49106*65+6495*30+11257*45+135601*76.39</f>
        <v>14251865.390000001</v>
      </c>
      <c r="H84" s="10"/>
      <c r="I84" s="10"/>
      <c r="J84" s="8"/>
      <c r="K84" s="9"/>
      <c r="L84" s="9"/>
      <c r="M84" s="9"/>
      <c r="N84" s="10"/>
      <c r="O84" s="9"/>
      <c r="P84" s="10"/>
      <c r="R84" s="4"/>
      <c r="S84" s="4"/>
      <c r="U84" s="63"/>
      <c r="V84" s="64"/>
      <c r="W84" s="65"/>
    </row>
    <row r="85" spans="4:25" x14ac:dyDescent="0.25">
      <c r="E85" t="s">
        <v>88</v>
      </c>
      <c r="F85" s="10">
        <f>1455930*76.23</f>
        <v>110985543.90000001</v>
      </c>
      <c r="G85" s="10">
        <f>G78*76.39</f>
        <v>158798156.97999999</v>
      </c>
      <c r="H85" s="10"/>
      <c r="I85" s="20"/>
      <c r="J85" s="10"/>
      <c r="K85" s="22"/>
      <c r="L85" s="9"/>
      <c r="M85" s="9"/>
      <c r="N85" s="10"/>
      <c r="O85" s="31"/>
      <c r="P85" s="9"/>
      <c r="Q85" s="10">
        <f>SUM(F85:P85)</f>
        <v>269783700.88</v>
      </c>
      <c r="T85" s="8"/>
    </row>
    <row r="86" spans="4:25" x14ac:dyDescent="0.25">
      <c r="E86" t="s">
        <v>55</v>
      </c>
      <c r="F86" s="82">
        <f t="shared" ref="F86:P86" si="7">SUM(F84:F85)</f>
        <v>124198675.52000001</v>
      </c>
      <c r="G86" s="23">
        <f t="shared" si="7"/>
        <v>173050022.37</v>
      </c>
      <c r="H86" s="23">
        <f t="shared" si="7"/>
        <v>0</v>
      </c>
      <c r="I86" s="83">
        <f t="shared" si="7"/>
        <v>0</v>
      </c>
      <c r="J86" s="23">
        <f t="shared" si="7"/>
        <v>0</v>
      </c>
      <c r="K86" s="23">
        <f t="shared" si="7"/>
        <v>0</v>
      </c>
      <c r="L86" s="21">
        <f t="shared" si="7"/>
        <v>0</v>
      </c>
      <c r="M86" s="21">
        <f t="shared" si="7"/>
        <v>0</v>
      </c>
      <c r="N86" s="82">
        <f t="shared" si="7"/>
        <v>0</v>
      </c>
      <c r="O86" s="21">
        <f t="shared" si="7"/>
        <v>0</v>
      </c>
      <c r="P86" s="23">
        <f t="shared" si="7"/>
        <v>0</v>
      </c>
      <c r="T86" s="24"/>
      <c r="U86" s="9"/>
    </row>
    <row r="87" spans="4:25" x14ac:dyDescent="0.25">
      <c r="I87" s="13"/>
      <c r="K87" s="10"/>
      <c r="L87" s="9"/>
      <c r="N87" s="8">
        <f>+'[1]RELACION COCIDA 2022'!$N$73</f>
        <v>0</v>
      </c>
    </row>
    <row r="88" spans="4:25" x14ac:dyDescent="0.25">
      <c r="I88" s="8"/>
      <c r="N88" s="8"/>
      <c r="P88" s="8"/>
      <c r="Q88" s="86"/>
      <c r="U88" t="s">
        <v>83</v>
      </c>
      <c r="X88" s="6" t="s">
        <v>77</v>
      </c>
    </row>
    <row r="89" spans="4:25" x14ac:dyDescent="0.25">
      <c r="I89" s="17"/>
      <c r="L89" s="8"/>
      <c r="M89" s="8"/>
      <c r="N89" s="4"/>
      <c r="O89" s="8"/>
      <c r="P89" s="10"/>
      <c r="U89" s="67">
        <v>3028765</v>
      </c>
      <c r="W89" s="4"/>
      <c r="X89" s="11" t="e">
        <f>+#REF!/13</f>
        <v>#REF!</v>
      </c>
      <c r="Y89" t="s">
        <v>76</v>
      </c>
    </row>
    <row r="90" spans="4:25" x14ac:dyDescent="0.25">
      <c r="I90" s="17"/>
      <c r="P90" s="10"/>
      <c r="S90" s="8"/>
      <c r="T90" s="10"/>
      <c r="U90" s="11" t="e">
        <f>+X98</f>
        <v>#REF!</v>
      </c>
      <c r="W90" t="s">
        <v>79</v>
      </c>
      <c r="X90" s="11">
        <f>90000+30000</f>
        <v>120000</v>
      </c>
      <c r="Y90" t="s">
        <v>78</v>
      </c>
    </row>
    <row r="91" spans="4:25" x14ac:dyDescent="0.25">
      <c r="I91" s="17"/>
      <c r="J91" s="8"/>
      <c r="U91" s="8"/>
      <c r="W91" t="s">
        <v>80</v>
      </c>
      <c r="X91" s="11">
        <v>1270</v>
      </c>
    </row>
    <row r="92" spans="4:25" ht="15.75" thickBot="1" x14ac:dyDescent="0.3">
      <c r="I92" s="24"/>
      <c r="U92" s="8"/>
      <c r="W92" t="s">
        <v>81</v>
      </c>
      <c r="X92" s="11">
        <v>785.66666666666663</v>
      </c>
    </row>
    <row r="93" spans="4:25" x14ac:dyDescent="0.25">
      <c r="I93" s="17"/>
      <c r="J93" s="68" t="s">
        <v>84</v>
      </c>
      <c r="K93" s="69"/>
      <c r="L93" s="70"/>
      <c r="M93" s="69"/>
      <c r="N93" s="70"/>
      <c r="O93" s="69"/>
      <c r="P93" s="70"/>
      <c r="W93" t="s">
        <v>82</v>
      </c>
      <c r="X93" s="11">
        <f>350000/3</f>
        <v>116666.66666666667</v>
      </c>
    </row>
    <row r="94" spans="4:25" x14ac:dyDescent="0.25">
      <c r="I94" s="17"/>
      <c r="J94" s="71"/>
      <c r="K94" s="72" t="e">
        <f>+K81</f>
        <v>#DIV/0!</v>
      </c>
      <c r="L94" s="73" t="e">
        <f>+L81</f>
        <v>#DIV/0!</v>
      </c>
      <c r="M94" s="73">
        <f>+M81</f>
        <v>50.18</v>
      </c>
      <c r="N94" s="73" t="e">
        <f>+N81</f>
        <v>#DIV/0!</v>
      </c>
      <c r="O94" s="74" t="e">
        <f>+O81</f>
        <v>#DIV/0!</v>
      </c>
      <c r="P94" s="75">
        <v>77.459999999999994</v>
      </c>
      <c r="X94" s="66" t="e">
        <f>SUM(X89:X93)</f>
        <v>#REF!</v>
      </c>
    </row>
    <row r="95" spans="4:25" ht="15.75" thickBot="1" x14ac:dyDescent="0.3">
      <c r="I95" s="17"/>
      <c r="J95" s="76"/>
      <c r="K95" s="77" t="e">
        <f t="shared" ref="K95:P95" si="8">+K93*K94</f>
        <v>#DIV/0!</v>
      </c>
      <c r="L95" s="77" t="e">
        <f t="shared" si="8"/>
        <v>#DIV/0!</v>
      </c>
      <c r="M95" s="77">
        <f t="shared" si="8"/>
        <v>0</v>
      </c>
      <c r="N95" s="77" t="e">
        <f t="shared" si="8"/>
        <v>#DIV/0!</v>
      </c>
      <c r="O95" s="77" t="e">
        <f t="shared" si="8"/>
        <v>#DIV/0!</v>
      </c>
      <c r="P95" s="77">
        <f t="shared" si="8"/>
        <v>0</v>
      </c>
      <c r="U95" s="11">
        <v>3191205</v>
      </c>
      <c r="X95" s="9">
        <v>152560</v>
      </c>
    </row>
    <row r="96" spans="4:25" ht="15.75" thickBot="1" x14ac:dyDescent="0.3">
      <c r="I96" s="17"/>
      <c r="J96" s="78"/>
      <c r="K96" s="78"/>
      <c r="L96" s="78"/>
      <c r="M96" s="78"/>
      <c r="N96" s="78"/>
      <c r="O96" s="78"/>
      <c r="P96" s="78"/>
      <c r="X96" s="9">
        <v>191651</v>
      </c>
    </row>
    <row r="97" spans="9:24" x14ac:dyDescent="0.25">
      <c r="I97" s="17"/>
      <c r="J97" s="78"/>
      <c r="K97" s="78"/>
      <c r="L97" s="78"/>
      <c r="M97" s="78"/>
      <c r="N97" s="68" t="s">
        <v>70</v>
      </c>
      <c r="O97" s="69">
        <v>16461</v>
      </c>
      <c r="P97" s="70">
        <v>27224</v>
      </c>
      <c r="X97" s="9">
        <v>285552</v>
      </c>
    </row>
    <row r="98" spans="9:24" x14ac:dyDescent="0.25">
      <c r="I98" s="17"/>
      <c r="J98" s="79"/>
      <c r="K98" s="78"/>
      <c r="L98" s="78"/>
      <c r="M98" s="78"/>
      <c r="N98" s="71"/>
      <c r="O98" s="74">
        <v>77.930000000000007</v>
      </c>
      <c r="P98" s="75">
        <v>77.459999999999994</v>
      </c>
      <c r="X98" s="32" t="e">
        <f>SUM(X94:X97)</f>
        <v>#REF!</v>
      </c>
    </row>
    <row r="99" spans="9:24" ht="15.75" thickBot="1" x14ac:dyDescent="0.3">
      <c r="I99" s="17"/>
      <c r="J99" s="78"/>
      <c r="K99" s="78"/>
      <c r="L99" s="78"/>
      <c r="M99" s="78"/>
      <c r="N99" s="76"/>
      <c r="O99" s="80">
        <f>+O97*O98</f>
        <v>1282805.7300000002</v>
      </c>
      <c r="P99" s="80">
        <f>+P97*P98</f>
        <v>2108771.04</v>
      </c>
    </row>
  </sheetData>
  <mergeCells count="2">
    <mergeCell ref="C3:D3"/>
    <mergeCell ref="C4:D4"/>
  </mergeCells>
  <pageMargins left="0.12" right="0.12" top="0.12" bottom="0.12" header="0.12" footer="0.12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107"/>
  <sheetViews>
    <sheetView tabSelected="1" topLeftCell="C79" zoomScaleNormal="100" workbookViewId="0">
      <selection activeCell="I99" sqref="I99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6.7109375" customWidth="1"/>
    <col min="6" max="6" width="17.5703125" customWidth="1"/>
    <col min="7" max="7" width="16.85546875" customWidth="1"/>
    <col min="8" max="9" width="18.42578125" customWidth="1"/>
    <col min="10" max="10" width="15.42578125" customWidth="1"/>
    <col min="11" max="11" width="0.5703125" hidden="1" customWidth="1"/>
    <col min="12" max="12" width="17.140625" hidden="1" customWidth="1"/>
    <col min="13" max="13" width="13.5703125" hidden="1" customWidth="1"/>
    <col min="14" max="14" width="17.7109375" hidden="1" customWidth="1"/>
    <col min="15" max="15" width="16.85546875" hidden="1" customWidth="1"/>
    <col min="16" max="16" width="17.42578125" hidden="1" customWidth="1"/>
    <col min="17" max="17" width="16.85546875" hidden="1" customWidth="1"/>
    <col min="18" max="18" width="16.85546875" customWidth="1"/>
    <col min="19" max="19" width="20.140625" customWidth="1"/>
    <col min="20" max="20" width="6.28515625" customWidth="1"/>
    <col min="21" max="21" width="18" customWidth="1"/>
    <col min="22" max="22" width="16.85546875" bestFit="1" customWidth="1"/>
    <col min="23" max="23" width="17.28515625" bestFit="1" customWidth="1"/>
  </cols>
  <sheetData>
    <row r="1" spans="3:20" x14ac:dyDescent="0.25">
      <c r="F1" s="9"/>
    </row>
    <row r="2" spans="3:20" ht="21.75" customHeight="1" thickBot="1" x14ac:dyDescent="0.3">
      <c r="M2" s="10"/>
      <c r="N2" s="4"/>
      <c r="O2" s="10"/>
      <c r="P2" s="10"/>
      <c r="Q2" s="10"/>
      <c r="R2" s="10"/>
      <c r="S2" s="10"/>
    </row>
    <row r="3" spans="3:20" ht="30" customHeight="1" thickBot="1" x14ac:dyDescent="0.3">
      <c r="C3" s="99" t="s">
        <v>64</v>
      </c>
      <c r="D3" s="100"/>
    </row>
    <row r="4" spans="3:20" ht="32.25" customHeight="1" thickBot="1" x14ac:dyDescent="0.3">
      <c r="C4" s="101" t="s">
        <v>0</v>
      </c>
      <c r="D4" s="102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50</v>
      </c>
      <c r="L4" s="36" t="s">
        <v>51</v>
      </c>
      <c r="M4" s="36" t="s">
        <v>52</v>
      </c>
      <c r="N4" s="25" t="s">
        <v>53</v>
      </c>
      <c r="O4" s="37" t="s">
        <v>67</v>
      </c>
      <c r="P4" s="37" t="s">
        <v>54</v>
      </c>
      <c r="Q4" s="37" t="s">
        <v>74</v>
      </c>
      <c r="R4" s="37" t="s">
        <v>51</v>
      </c>
      <c r="S4" s="36" t="s">
        <v>55</v>
      </c>
    </row>
    <row r="5" spans="3:20" ht="16.5" customHeight="1" thickBot="1" x14ac:dyDescent="0.3">
      <c r="C5" s="38" t="s">
        <v>1</v>
      </c>
      <c r="D5" s="54">
        <f>+S5</f>
        <v>1384876</v>
      </c>
      <c r="F5" s="26">
        <f>50299+8265+12530+119794</f>
        <v>190888</v>
      </c>
      <c r="G5" s="26">
        <f>135601+49106+6495+11257</f>
        <v>202459</v>
      </c>
      <c r="H5" s="26">
        <f>186470+71881</f>
        <v>258351</v>
      </c>
      <c r="I5" s="26">
        <f>70086+186405</f>
        <v>256491</v>
      </c>
      <c r="J5" s="26">
        <f>178981+74110</f>
        <v>253091</v>
      </c>
      <c r="K5" s="26"/>
      <c r="L5" s="26"/>
      <c r="M5" s="26"/>
      <c r="N5" s="26"/>
      <c r="O5" s="27"/>
      <c r="P5" s="27"/>
      <c r="Q5" s="27"/>
      <c r="R5" s="27">
        <f>154406+69190</f>
        <v>223596</v>
      </c>
      <c r="S5" s="1">
        <f>R5+J5+I5+H5+G5+F5</f>
        <v>1384876</v>
      </c>
    </row>
    <row r="6" spans="3:20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>
        <f t="shared" ref="H6:J6" si="0">SUM(H5)</f>
        <v>258351</v>
      </c>
      <c r="I6" s="29">
        <f t="shared" si="0"/>
        <v>256491</v>
      </c>
      <c r="J6" s="29">
        <f t="shared" si="0"/>
        <v>253091</v>
      </c>
      <c r="K6" s="29"/>
      <c r="L6" s="29"/>
      <c r="M6" s="29"/>
      <c r="N6" s="29"/>
      <c r="O6" s="29"/>
      <c r="P6" s="30"/>
      <c r="Q6" s="30"/>
      <c r="R6" s="29">
        <f>SUM(R5)</f>
        <v>223596</v>
      </c>
      <c r="S6" s="15">
        <f>R6+J6+I6+H6+G6+F6</f>
        <v>1384876</v>
      </c>
      <c r="T6" s="18"/>
    </row>
    <row r="7" spans="3:20" ht="16.5" customHeight="1" x14ac:dyDescent="0.25">
      <c r="C7" s="45" t="s">
        <v>3</v>
      </c>
      <c r="D7" s="49">
        <f>+S7</f>
        <v>2245824</v>
      </c>
      <c r="F7" s="1">
        <f>253120+2200+80683</f>
        <v>336003</v>
      </c>
      <c r="G7" s="1">
        <f>231610+1660+127010</f>
        <v>360280</v>
      </c>
      <c r="H7" s="1">
        <v>399486</v>
      </c>
      <c r="I7" s="1">
        <v>362183</v>
      </c>
      <c r="J7" s="1">
        <v>420412</v>
      </c>
      <c r="K7" s="1"/>
      <c r="L7" s="1"/>
      <c r="M7" s="1"/>
      <c r="N7" s="1"/>
      <c r="O7" s="14"/>
      <c r="P7" s="1"/>
      <c r="Q7" s="1"/>
      <c r="R7" s="1">
        <v>367460</v>
      </c>
      <c r="S7" s="1">
        <f>R7+J7+I7+H7+G7+F7</f>
        <v>2245824</v>
      </c>
    </row>
    <row r="8" spans="3:20" ht="14.25" customHeight="1" x14ac:dyDescent="0.25">
      <c r="C8" s="46" t="s">
        <v>4</v>
      </c>
      <c r="D8" s="50">
        <f t="shared" ref="D8:D82" si="1">+S8</f>
        <v>356601</v>
      </c>
      <c r="F8" s="1">
        <f>5959+2115+22860</f>
        <v>30934</v>
      </c>
      <c r="G8" s="1">
        <f>5800+2405+42207</f>
        <v>50412</v>
      </c>
      <c r="H8" s="1">
        <v>77156</v>
      </c>
      <c r="I8" s="1">
        <v>46660</v>
      </c>
      <c r="J8" s="1">
        <v>88560</v>
      </c>
      <c r="K8" s="1"/>
      <c r="L8" s="1"/>
      <c r="M8" s="1"/>
      <c r="N8" s="1"/>
      <c r="O8" s="14"/>
      <c r="P8" s="1"/>
      <c r="Q8" s="14"/>
      <c r="R8" s="14">
        <v>62879</v>
      </c>
      <c r="S8" s="1">
        <f t="shared" ref="S8:S71" si="2">R8+J8+I8+H8+G8+F8</f>
        <v>356601</v>
      </c>
    </row>
    <row r="9" spans="3:20" ht="15.75" customHeight="1" x14ac:dyDescent="0.25">
      <c r="C9" s="45" t="s">
        <v>5</v>
      </c>
      <c r="D9" s="49">
        <f t="shared" si="1"/>
        <v>543384</v>
      </c>
      <c r="F9" s="1">
        <f>7510+50489</f>
        <v>57999</v>
      </c>
      <c r="G9" s="1">
        <f>9570+68416</f>
        <v>77986</v>
      </c>
      <c r="H9" s="1">
        <v>90146</v>
      </c>
      <c r="I9" s="1">
        <v>81624</v>
      </c>
      <c r="J9" s="1">
        <v>125513</v>
      </c>
      <c r="K9" s="1"/>
      <c r="L9" s="1"/>
      <c r="M9" s="1"/>
      <c r="N9" s="1"/>
      <c r="O9" s="14"/>
      <c r="P9" s="1"/>
      <c r="Q9" s="14"/>
      <c r="R9" s="14">
        <v>110116</v>
      </c>
      <c r="S9" s="1">
        <f t="shared" si="2"/>
        <v>543384</v>
      </c>
      <c r="T9" s="10"/>
    </row>
    <row r="10" spans="3:20" ht="13.5" customHeight="1" x14ac:dyDescent="0.25">
      <c r="C10" s="46" t="s">
        <v>6</v>
      </c>
      <c r="D10" s="50">
        <f t="shared" si="1"/>
        <v>417047</v>
      </c>
      <c r="F10" s="1">
        <f>3829+37646</f>
        <v>41475</v>
      </c>
      <c r="G10" s="1">
        <f>4440+60562</f>
        <v>65002</v>
      </c>
      <c r="H10" s="1">
        <v>79507</v>
      </c>
      <c r="I10" s="1">
        <v>59005</v>
      </c>
      <c r="J10" s="1">
        <v>99521</v>
      </c>
      <c r="K10" s="1"/>
      <c r="L10" s="1"/>
      <c r="M10" s="1"/>
      <c r="N10" s="1"/>
      <c r="O10" s="14"/>
      <c r="P10" s="1"/>
      <c r="Q10" s="14"/>
      <c r="R10" s="14">
        <v>72537</v>
      </c>
      <c r="S10" s="1">
        <f t="shared" si="2"/>
        <v>417047</v>
      </c>
    </row>
    <row r="11" spans="3:20" ht="15" customHeight="1" x14ac:dyDescent="0.25">
      <c r="C11" s="45" t="s">
        <v>7</v>
      </c>
      <c r="D11" s="49">
        <f t="shared" si="1"/>
        <v>441739</v>
      </c>
      <c r="F11" s="1">
        <f>459+45419</f>
        <v>45878</v>
      </c>
      <c r="G11" s="1">
        <f>598+71779</f>
        <v>72377</v>
      </c>
      <c r="H11" s="1">
        <v>88995</v>
      </c>
      <c r="I11" s="1">
        <v>64420</v>
      </c>
      <c r="J11" s="1">
        <v>94801</v>
      </c>
      <c r="K11" s="1"/>
      <c r="L11" s="1"/>
      <c r="M11" s="1"/>
      <c r="N11" s="1"/>
      <c r="O11" s="14"/>
      <c r="P11" s="1"/>
      <c r="Q11" s="14"/>
      <c r="R11" s="14">
        <v>75268</v>
      </c>
      <c r="S11" s="1">
        <f t="shared" si="2"/>
        <v>441739</v>
      </c>
    </row>
    <row r="12" spans="3:20" ht="15" customHeight="1" x14ac:dyDescent="0.25">
      <c r="C12" s="46" t="s">
        <v>8</v>
      </c>
      <c r="D12" s="50">
        <f t="shared" si="1"/>
        <v>491508</v>
      </c>
      <c r="F12" s="1">
        <f>450+643+51175</f>
        <v>52268</v>
      </c>
      <c r="G12" s="1">
        <f>2410+807+74681</f>
        <v>77898</v>
      </c>
      <c r="H12" s="1">
        <v>94725</v>
      </c>
      <c r="I12" s="1">
        <v>75367</v>
      </c>
      <c r="J12" s="1">
        <v>98283</v>
      </c>
      <c r="K12" s="1"/>
      <c r="L12" s="1"/>
      <c r="M12" s="1"/>
      <c r="N12" s="1"/>
      <c r="O12" s="14"/>
      <c r="P12" s="1"/>
      <c r="Q12" s="14"/>
      <c r="R12" s="14">
        <v>92967</v>
      </c>
      <c r="S12" s="1">
        <f t="shared" si="2"/>
        <v>491508</v>
      </c>
    </row>
    <row r="13" spans="3:20" ht="16.5" customHeight="1" x14ac:dyDescent="0.25">
      <c r="C13" s="45" t="s">
        <v>9</v>
      </c>
      <c r="D13" s="49">
        <f t="shared" si="1"/>
        <v>336901</v>
      </c>
      <c r="F13" s="1">
        <f>806+37863+3000</f>
        <v>41669</v>
      </c>
      <c r="G13" s="1">
        <f>1018+57095</f>
        <v>58113</v>
      </c>
      <c r="H13" s="1">
        <v>68840</v>
      </c>
      <c r="I13" s="1">
        <v>50660</v>
      </c>
      <c r="J13" s="1">
        <v>63619</v>
      </c>
      <c r="K13" s="1"/>
      <c r="L13" s="1"/>
      <c r="M13" s="1"/>
      <c r="N13" s="1"/>
      <c r="O13" s="14"/>
      <c r="P13" s="1"/>
      <c r="Q13" s="14"/>
      <c r="R13" s="14">
        <v>54000</v>
      </c>
      <c r="S13" s="1">
        <f t="shared" si="2"/>
        <v>336901</v>
      </c>
    </row>
    <row r="14" spans="3:20" ht="13.5" customHeight="1" x14ac:dyDescent="0.25">
      <c r="C14" s="46" t="s">
        <v>10</v>
      </c>
      <c r="D14" s="50">
        <f t="shared" si="1"/>
        <v>301599</v>
      </c>
      <c r="F14" s="1">
        <f>2970+641+27219</f>
        <v>30830</v>
      </c>
      <c r="G14" s="1">
        <f>3696+902+46104</f>
        <v>50702</v>
      </c>
      <c r="H14" s="1">
        <v>61578</v>
      </c>
      <c r="I14" s="1">
        <v>43986</v>
      </c>
      <c r="J14" s="1">
        <v>59108</v>
      </c>
      <c r="K14" s="1"/>
      <c r="L14" s="1"/>
      <c r="M14" s="1"/>
      <c r="N14" s="1"/>
      <c r="O14" s="14"/>
      <c r="P14" s="1"/>
      <c r="Q14" s="14"/>
      <c r="R14" s="14">
        <v>55395</v>
      </c>
      <c r="S14" s="1">
        <f t="shared" si="2"/>
        <v>301599</v>
      </c>
    </row>
    <row r="15" spans="3:20" ht="16.5" customHeight="1" x14ac:dyDescent="0.25">
      <c r="C15" s="45" t="s">
        <v>96</v>
      </c>
      <c r="D15" s="49">
        <f>+S15</f>
        <v>97078</v>
      </c>
      <c r="F15" s="1"/>
      <c r="G15" s="1">
        <f>10+1115</f>
        <v>1125</v>
      </c>
      <c r="H15" s="1">
        <v>32951</v>
      </c>
      <c r="I15" s="1">
        <v>19935</v>
      </c>
      <c r="J15" s="1">
        <v>22240</v>
      </c>
      <c r="K15" s="1"/>
      <c r="L15" s="1"/>
      <c r="M15" s="1"/>
      <c r="N15" s="1"/>
      <c r="O15" s="87"/>
      <c r="P15" s="2"/>
      <c r="Q15" s="87"/>
      <c r="R15" s="87">
        <v>20827</v>
      </c>
      <c r="S15" s="1">
        <f t="shared" si="2"/>
        <v>97078</v>
      </c>
    </row>
    <row r="16" spans="3:20" ht="14.25" customHeight="1" x14ac:dyDescent="0.25">
      <c r="C16" s="40" t="s">
        <v>66</v>
      </c>
      <c r="D16" s="49">
        <f t="shared" si="1"/>
        <v>132979</v>
      </c>
      <c r="F16" s="1">
        <f>209+11552+380+3379</f>
        <v>15520</v>
      </c>
      <c r="G16" s="1">
        <f>223+15056+486+4613</f>
        <v>20378</v>
      </c>
      <c r="H16" s="1">
        <v>24826</v>
      </c>
      <c r="I16" s="1">
        <v>21350</v>
      </c>
      <c r="J16" s="1">
        <v>25653</v>
      </c>
      <c r="K16" s="1"/>
      <c r="L16" s="1"/>
      <c r="M16" s="1"/>
      <c r="N16" s="1"/>
      <c r="O16" s="14"/>
      <c r="P16" s="1"/>
      <c r="Q16" s="14"/>
      <c r="R16" s="14">
        <v>25252</v>
      </c>
      <c r="S16" s="1">
        <f t="shared" si="2"/>
        <v>132979</v>
      </c>
    </row>
    <row r="17" spans="3:19" x14ac:dyDescent="0.25">
      <c r="C17" s="46" t="s">
        <v>89</v>
      </c>
      <c r="D17" s="49">
        <f t="shared" si="1"/>
        <v>429158</v>
      </c>
      <c r="F17" s="1"/>
      <c r="G17" s="1">
        <f>6770+86772+25621</f>
        <v>119163</v>
      </c>
      <c r="H17" s="1">
        <v>167444</v>
      </c>
      <c r="I17" s="1">
        <v>104864</v>
      </c>
      <c r="J17" s="1">
        <v>12419</v>
      </c>
      <c r="K17" s="1"/>
      <c r="L17" s="1"/>
      <c r="M17" s="1"/>
      <c r="N17" s="1"/>
      <c r="O17" s="14"/>
      <c r="P17" s="1"/>
      <c r="Q17" s="14"/>
      <c r="R17" s="14">
        <v>25268</v>
      </c>
      <c r="S17" s="1">
        <f t="shared" si="2"/>
        <v>429158</v>
      </c>
    </row>
    <row r="18" spans="3:19" x14ac:dyDescent="0.25">
      <c r="C18" s="46" t="s">
        <v>102</v>
      </c>
      <c r="D18" s="49">
        <f t="shared" si="1"/>
        <v>24059</v>
      </c>
      <c r="F18" s="1"/>
      <c r="G18" s="1"/>
      <c r="H18" s="1"/>
      <c r="I18" s="1"/>
      <c r="J18" s="1">
        <v>11090</v>
      </c>
      <c r="K18" s="1"/>
      <c r="L18" s="1"/>
      <c r="M18" s="1"/>
      <c r="N18" s="1"/>
      <c r="O18" s="14"/>
      <c r="P18" s="1"/>
      <c r="Q18" s="14"/>
      <c r="R18" s="14">
        <v>12969</v>
      </c>
      <c r="S18" s="1">
        <f t="shared" si="2"/>
        <v>24059</v>
      </c>
    </row>
    <row r="19" spans="3:19" x14ac:dyDescent="0.25">
      <c r="C19" s="46" t="s">
        <v>104</v>
      </c>
      <c r="D19" s="49">
        <f t="shared" si="1"/>
        <v>26874</v>
      </c>
      <c r="F19" s="1"/>
      <c r="G19" s="1"/>
      <c r="H19" s="1"/>
      <c r="I19" s="1"/>
      <c r="J19" s="1">
        <v>4462</v>
      </c>
      <c r="K19" s="1"/>
      <c r="L19" s="1"/>
      <c r="M19" s="1"/>
      <c r="N19" s="1"/>
      <c r="O19" s="14"/>
      <c r="P19" s="1"/>
      <c r="Q19" s="14"/>
      <c r="R19" s="14">
        <v>22412</v>
      </c>
      <c r="S19" s="1">
        <f t="shared" si="2"/>
        <v>26874</v>
      </c>
    </row>
    <row r="20" spans="3:19" x14ac:dyDescent="0.25">
      <c r="C20" s="45" t="s">
        <v>13</v>
      </c>
      <c r="D20" s="49">
        <f t="shared" si="1"/>
        <v>100555</v>
      </c>
      <c r="F20" s="1">
        <f>448+8715</f>
        <v>9163</v>
      </c>
      <c r="G20" s="1">
        <f>560+16225</f>
        <v>16785</v>
      </c>
      <c r="H20" s="1">
        <v>19110</v>
      </c>
      <c r="I20" s="1">
        <v>15509</v>
      </c>
      <c r="J20" s="1">
        <v>22194</v>
      </c>
      <c r="K20" s="1"/>
      <c r="L20" s="1"/>
      <c r="M20" s="1"/>
      <c r="N20" s="1"/>
      <c r="O20" s="14"/>
      <c r="P20" s="1"/>
      <c r="Q20" s="14"/>
      <c r="R20" s="14">
        <v>17794</v>
      </c>
      <c r="S20" s="1">
        <f t="shared" si="2"/>
        <v>100555</v>
      </c>
    </row>
    <row r="21" spans="3:19" ht="16.5" customHeight="1" x14ac:dyDescent="0.25">
      <c r="C21" s="46" t="s">
        <v>11</v>
      </c>
      <c r="D21" s="50">
        <f t="shared" si="1"/>
        <v>106177</v>
      </c>
      <c r="F21" s="1">
        <f>330+12194</f>
        <v>12524</v>
      </c>
      <c r="G21" s="1">
        <f>418+15942</f>
        <v>16360</v>
      </c>
      <c r="H21" s="1">
        <v>21327</v>
      </c>
      <c r="I21" s="1">
        <v>17162</v>
      </c>
      <c r="J21" s="1">
        <v>20423</v>
      </c>
      <c r="K21" s="1"/>
      <c r="L21" s="1"/>
      <c r="M21" s="1"/>
      <c r="N21" s="1"/>
      <c r="O21" s="14"/>
      <c r="P21" s="1"/>
      <c r="Q21" s="14"/>
      <c r="R21" s="14">
        <v>18381</v>
      </c>
      <c r="S21" s="1">
        <f t="shared" si="2"/>
        <v>106177</v>
      </c>
    </row>
    <row r="22" spans="3:19" x14ac:dyDescent="0.25">
      <c r="C22" s="45" t="s">
        <v>12</v>
      </c>
      <c r="D22" s="49">
        <f t="shared" si="1"/>
        <v>111350</v>
      </c>
      <c r="F22" s="1">
        <f>249+13251</f>
        <v>13500</v>
      </c>
      <c r="G22" s="1">
        <f>319+18324</f>
        <v>18643</v>
      </c>
      <c r="H22" s="1">
        <v>21804</v>
      </c>
      <c r="I22" s="1">
        <v>16032</v>
      </c>
      <c r="J22" s="1">
        <v>21478</v>
      </c>
      <c r="K22" s="1"/>
      <c r="L22" s="1"/>
      <c r="M22" s="1"/>
      <c r="N22" s="1"/>
      <c r="O22" s="14"/>
      <c r="P22" s="1"/>
      <c r="Q22" s="14"/>
      <c r="R22" s="14">
        <v>19893</v>
      </c>
      <c r="S22" s="1">
        <f t="shared" si="2"/>
        <v>111350</v>
      </c>
    </row>
    <row r="23" spans="3:19" x14ac:dyDescent="0.25">
      <c r="C23" s="46" t="s">
        <v>14</v>
      </c>
      <c r="D23" s="50">
        <f t="shared" si="1"/>
        <v>63152</v>
      </c>
      <c r="F23" s="1">
        <f>259+6110</f>
        <v>6369</v>
      </c>
      <c r="G23" s="1">
        <f>298+11395</f>
        <v>11693</v>
      </c>
      <c r="H23" s="1">
        <v>12889</v>
      </c>
      <c r="I23" s="1">
        <v>11141</v>
      </c>
      <c r="J23" s="1">
        <v>11610</v>
      </c>
      <c r="K23" s="1"/>
      <c r="L23" s="1"/>
      <c r="M23" s="1"/>
      <c r="N23" s="1"/>
      <c r="O23" s="14"/>
      <c r="P23" s="1"/>
      <c r="Q23" s="14"/>
      <c r="R23" s="14">
        <v>9450</v>
      </c>
      <c r="S23" s="1">
        <f t="shared" si="2"/>
        <v>63152</v>
      </c>
    </row>
    <row r="24" spans="3:19" x14ac:dyDescent="0.25">
      <c r="C24" s="45" t="s">
        <v>17</v>
      </c>
      <c r="D24" s="49">
        <f t="shared" si="1"/>
        <v>98122</v>
      </c>
      <c r="F24" s="1">
        <f>212+8861+50</f>
        <v>9123</v>
      </c>
      <c r="G24" s="1">
        <f>252+12429</f>
        <v>12681</v>
      </c>
      <c r="H24" s="1">
        <v>18392</v>
      </c>
      <c r="I24" s="1">
        <v>16945</v>
      </c>
      <c r="J24" s="1">
        <v>21278</v>
      </c>
      <c r="K24" s="1"/>
      <c r="L24" s="1"/>
      <c r="M24" s="14"/>
      <c r="N24" s="1"/>
      <c r="O24" s="14"/>
      <c r="P24" s="1"/>
      <c r="Q24" s="14"/>
      <c r="R24" s="14">
        <v>19703</v>
      </c>
      <c r="S24" s="1">
        <f t="shared" si="2"/>
        <v>98122</v>
      </c>
    </row>
    <row r="25" spans="3:19" ht="13.5" customHeight="1" x14ac:dyDescent="0.25">
      <c r="C25" s="46" t="s">
        <v>63</v>
      </c>
      <c r="D25" s="50">
        <f t="shared" si="1"/>
        <v>195088</v>
      </c>
      <c r="F25" s="1">
        <f>180+23767</f>
        <v>23947</v>
      </c>
      <c r="G25" s="1">
        <f>228+33272</f>
        <v>33500</v>
      </c>
      <c r="H25" s="1">
        <v>38867</v>
      </c>
      <c r="I25" s="1">
        <v>29384</v>
      </c>
      <c r="J25" s="1">
        <v>34076</v>
      </c>
      <c r="K25" s="1"/>
      <c r="L25" s="1"/>
      <c r="M25" s="14"/>
      <c r="N25" s="1"/>
      <c r="O25" s="14"/>
      <c r="P25" s="1"/>
      <c r="Q25" s="14"/>
      <c r="R25" s="14">
        <v>35314</v>
      </c>
      <c r="S25" s="1">
        <f t="shared" si="2"/>
        <v>195088</v>
      </c>
    </row>
    <row r="26" spans="3:19" x14ac:dyDescent="0.25">
      <c r="C26" s="45" t="s">
        <v>68</v>
      </c>
      <c r="D26" s="49">
        <f t="shared" si="1"/>
        <v>0</v>
      </c>
      <c r="F26" s="1"/>
      <c r="G26" s="1"/>
      <c r="H26" s="1"/>
      <c r="I26" s="1"/>
      <c r="J26" s="1"/>
      <c r="K26" s="1"/>
      <c r="L26" s="1"/>
      <c r="M26" s="14"/>
      <c r="N26" s="1"/>
      <c r="O26" s="14"/>
      <c r="P26" s="1"/>
      <c r="Q26" s="14"/>
      <c r="R26" s="14"/>
      <c r="S26" s="1">
        <f t="shared" si="2"/>
        <v>0</v>
      </c>
    </row>
    <row r="27" spans="3:19" ht="14.25" customHeight="1" x14ac:dyDescent="0.25">
      <c r="C27" s="46" t="s">
        <v>15</v>
      </c>
      <c r="D27" s="50">
        <f t="shared" si="1"/>
        <v>123275</v>
      </c>
      <c r="F27" s="1">
        <f>220+14392</f>
        <v>14612</v>
      </c>
      <c r="G27" s="1">
        <f>256+19444</f>
        <v>19700</v>
      </c>
      <c r="H27" s="1">
        <v>25543</v>
      </c>
      <c r="I27" s="1">
        <v>22012</v>
      </c>
      <c r="J27" s="1">
        <v>22063</v>
      </c>
      <c r="K27" s="1"/>
      <c r="L27" s="1"/>
      <c r="M27" s="1"/>
      <c r="N27" s="1"/>
      <c r="O27" s="14"/>
      <c r="P27" s="1"/>
      <c r="Q27" s="14"/>
      <c r="R27" s="14">
        <v>19345</v>
      </c>
      <c r="S27" s="1">
        <f t="shared" si="2"/>
        <v>123275</v>
      </c>
    </row>
    <row r="28" spans="3:19" ht="13.5" customHeight="1" x14ac:dyDescent="0.25">
      <c r="C28" s="45" t="s">
        <v>16</v>
      </c>
      <c r="D28" s="49">
        <f t="shared" si="1"/>
        <v>145046</v>
      </c>
      <c r="F28" s="1">
        <f>490+14849+500</f>
        <v>15839</v>
      </c>
      <c r="G28" s="1">
        <f>580+23004</f>
        <v>23584</v>
      </c>
      <c r="H28" s="1">
        <v>26852</v>
      </c>
      <c r="I28" s="1">
        <v>23252</v>
      </c>
      <c r="J28" s="1">
        <v>28318</v>
      </c>
      <c r="K28" s="1"/>
      <c r="L28" s="1"/>
      <c r="M28" s="1"/>
      <c r="N28" s="1"/>
      <c r="O28" s="14"/>
      <c r="P28" s="1"/>
      <c r="Q28" s="14"/>
      <c r="R28" s="14">
        <v>27201</v>
      </c>
      <c r="S28" s="1">
        <f t="shared" si="2"/>
        <v>145046</v>
      </c>
    </row>
    <row r="29" spans="3:19" x14ac:dyDescent="0.25">
      <c r="C29" s="46" t="s">
        <v>18</v>
      </c>
      <c r="D29" s="50">
        <f t="shared" si="1"/>
        <v>285247</v>
      </c>
      <c r="F29" s="1">
        <f>262+27585</f>
        <v>27847</v>
      </c>
      <c r="G29" s="1">
        <f>330+45137</f>
        <v>45467</v>
      </c>
      <c r="H29" s="1">
        <v>61089</v>
      </c>
      <c r="I29" s="1">
        <v>43667</v>
      </c>
      <c r="J29" s="1">
        <v>55430</v>
      </c>
      <c r="K29" s="1"/>
      <c r="L29" s="1"/>
      <c r="M29" s="1"/>
      <c r="N29" s="1"/>
      <c r="O29" s="14"/>
      <c r="P29" s="1"/>
      <c r="Q29" s="14"/>
      <c r="R29" s="14">
        <v>51747</v>
      </c>
      <c r="S29" s="1">
        <f t="shared" si="2"/>
        <v>285247</v>
      </c>
    </row>
    <row r="30" spans="3:19" ht="13.5" customHeight="1" x14ac:dyDescent="0.25">
      <c r="C30" s="45" t="s">
        <v>85</v>
      </c>
      <c r="D30" s="49">
        <f>+S30</f>
        <v>146249</v>
      </c>
      <c r="F30" s="1">
        <f>390+12975</f>
        <v>13365</v>
      </c>
      <c r="G30" s="1">
        <f>494+15796</f>
        <v>16290</v>
      </c>
      <c r="H30" s="1">
        <v>23932</v>
      </c>
      <c r="I30" s="1">
        <v>20228</v>
      </c>
      <c r="J30" s="1">
        <v>34189</v>
      </c>
      <c r="K30" s="1"/>
      <c r="L30" s="1"/>
      <c r="M30" s="1"/>
      <c r="N30" s="1"/>
      <c r="O30" s="14"/>
      <c r="P30" s="1"/>
      <c r="Q30" s="14"/>
      <c r="R30" s="14">
        <v>38245</v>
      </c>
      <c r="S30" s="1">
        <f t="shared" si="2"/>
        <v>146249</v>
      </c>
    </row>
    <row r="31" spans="3:19" ht="15" customHeight="1" x14ac:dyDescent="0.25">
      <c r="C31" s="45" t="s">
        <v>95</v>
      </c>
      <c r="D31" s="49">
        <f t="shared" ref="D31" si="3">+S31</f>
        <v>53804</v>
      </c>
      <c r="F31" s="1"/>
      <c r="G31" s="1">
        <f>84+2575</f>
        <v>2659</v>
      </c>
      <c r="H31" s="1">
        <v>13982</v>
      </c>
      <c r="I31" s="1">
        <v>11435</v>
      </c>
      <c r="J31" s="1">
        <v>13026</v>
      </c>
      <c r="K31" s="1"/>
      <c r="L31" s="1"/>
      <c r="M31" s="1"/>
      <c r="N31" s="1"/>
      <c r="O31" s="87"/>
      <c r="P31" s="2"/>
      <c r="Q31" s="87"/>
      <c r="R31" s="87">
        <v>12702</v>
      </c>
      <c r="S31" s="1">
        <f t="shared" si="2"/>
        <v>53804</v>
      </c>
    </row>
    <row r="32" spans="3:19" ht="15" customHeight="1" x14ac:dyDescent="0.25">
      <c r="C32" s="46" t="s">
        <v>19</v>
      </c>
      <c r="D32" s="50">
        <f t="shared" si="1"/>
        <v>202026</v>
      </c>
      <c r="F32" s="1">
        <f>2900+233+21085</f>
        <v>24218</v>
      </c>
      <c r="G32" s="1">
        <f>3300+311+28533</f>
        <v>32144</v>
      </c>
      <c r="H32" s="1">
        <v>39220</v>
      </c>
      <c r="I32" s="1">
        <v>31028</v>
      </c>
      <c r="J32" s="1">
        <v>38006</v>
      </c>
      <c r="K32" s="1"/>
      <c r="L32" s="1"/>
      <c r="M32" s="1"/>
      <c r="N32" s="1"/>
      <c r="O32" s="14"/>
      <c r="P32" s="1"/>
      <c r="Q32" s="14"/>
      <c r="R32" s="14">
        <v>37410</v>
      </c>
      <c r="S32" s="1">
        <f t="shared" si="2"/>
        <v>202026</v>
      </c>
    </row>
    <row r="33" spans="3:20" x14ac:dyDescent="0.25">
      <c r="C33" s="45" t="s">
        <v>20</v>
      </c>
      <c r="D33" s="49">
        <f t="shared" si="1"/>
        <v>182381</v>
      </c>
      <c r="F33" s="1">
        <f>645+360+20335</f>
        <v>21340</v>
      </c>
      <c r="G33" s="1">
        <f>817+418+27949</f>
        <v>29184</v>
      </c>
      <c r="H33" s="1">
        <v>35847</v>
      </c>
      <c r="I33" s="1">
        <v>28143</v>
      </c>
      <c r="J33" s="1">
        <v>34437</v>
      </c>
      <c r="K33" s="1"/>
      <c r="L33" s="1"/>
      <c r="M33" s="1"/>
      <c r="N33" s="1"/>
      <c r="O33" s="14"/>
      <c r="P33" s="1"/>
      <c r="Q33" s="14"/>
      <c r="R33" s="14">
        <v>33430</v>
      </c>
      <c r="S33" s="1">
        <f t="shared" si="2"/>
        <v>182381</v>
      </c>
      <c r="T33" s="4"/>
    </row>
    <row r="34" spans="3:20" x14ac:dyDescent="0.25">
      <c r="C34" s="45" t="s">
        <v>94</v>
      </c>
      <c r="D34" s="49">
        <f>+S34</f>
        <v>45588</v>
      </c>
      <c r="F34" s="1"/>
      <c r="G34" s="1">
        <f>76+1943</f>
        <v>2019</v>
      </c>
      <c r="H34" s="1">
        <v>9283</v>
      </c>
      <c r="I34" s="1">
        <v>6736</v>
      </c>
      <c r="J34" s="1">
        <v>12599</v>
      </c>
      <c r="K34" s="1"/>
      <c r="L34" s="1"/>
      <c r="M34" s="1"/>
      <c r="N34" s="1"/>
      <c r="O34" s="87"/>
      <c r="P34" s="2"/>
      <c r="Q34" s="87"/>
      <c r="R34" s="87">
        <v>14951</v>
      </c>
      <c r="S34" s="1">
        <f t="shared" si="2"/>
        <v>45588</v>
      </c>
      <c r="T34" s="4"/>
    </row>
    <row r="35" spans="3:20" x14ac:dyDescent="0.25">
      <c r="C35" s="46" t="s">
        <v>71</v>
      </c>
      <c r="D35" s="50">
        <f t="shared" si="1"/>
        <v>183945</v>
      </c>
      <c r="F35" s="1">
        <f>261+21359+2728</f>
        <v>24348</v>
      </c>
      <c r="G35" s="1">
        <f>397+28500</f>
        <v>28897</v>
      </c>
      <c r="H35" s="1">
        <v>35300</v>
      </c>
      <c r="I35" s="1">
        <v>30200</v>
      </c>
      <c r="J35" s="1">
        <v>32300</v>
      </c>
      <c r="K35" s="1"/>
      <c r="L35" s="1"/>
      <c r="M35" s="1"/>
      <c r="N35" s="1"/>
      <c r="O35" s="14"/>
      <c r="P35" s="1"/>
      <c r="Q35" s="14"/>
      <c r="R35" s="14">
        <v>32900</v>
      </c>
      <c r="S35" s="1">
        <f t="shared" si="2"/>
        <v>183945</v>
      </c>
    </row>
    <row r="36" spans="3:20" x14ac:dyDescent="0.25">
      <c r="C36" s="46" t="s">
        <v>100</v>
      </c>
      <c r="D36" s="50">
        <f t="shared" si="1"/>
        <v>37679</v>
      </c>
      <c r="F36" s="1"/>
      <c r="G36" s="1"/>
      <c r="H36" s="1"/>
      <c r="I36" s="1">
        <v>4323</v>
      </c>
      <c r="J36" s="1">
        <v>14498</v>
      </c>
      <c r="K36" s="1"/>
      <c r="L36" s="1"/>
      <c r="M36" s="1"/>
      <c r="N36" s="1"/>
      <c r="O36" s="14"/>
      <c r="P36" s="1"/>
      <c r="Q36" s="14"/>
      <c r="R36" s="14">
        <v>18858</v>
      </c>
      <c r="S36" s="1">
        <f t="shared" si="2"/>
        <v>37679</v>
      </c>
    </row>
    <row r="37" spans="3:20" x14ac:dyDescent="0.25">
      <c r="C37" s="45" t="s">
        <v>21</v>
      </c>
      <c r="D37" s="49">
        <f t="shared" si="1"/>
        <v>339455</v>
      </c>
      <c r="F37" s="1">
        <f>1545+27595</f>
        <v>29140</v>
      </c>
      <c r="G37" s="1">
        <f>2240+44245</f>
        <v>46485</v>
      </c>
      <c r="H37" s="1">
        <v>64683</v>
      </c>
      <c r="I37" s="1">
        <v>55997</v>
      </c>
      <c r="J37" s="1">
        <v>73535</v>
      </c>
      <c r="K37" s="1"/>
      <c r="L37" s="1"/>
      <c r="M37" s="1"/>
      <c r="N37" s="1"/>
      <c r="O37" s="14"/>
      <c r="P37" s="1"/>
      <c r="Q37" s="14"/>
      <c r="R37" s="14">
        <v>69615</v>
      </c>
      <c r="S37" s="1">
        <f t="shared" si="2"/>
        <v>339455</v>
      </c>
    </row>
    <row r="38" spans="3:20" x14ac:dyDescent="0.25">
      <c r="C38" s="46" t="s">
        <v>72</v>
      </c>
      <c r="D38" s="50">
        <f t="shared" si="1"/>
        <v>28005</v>
      </c>
      <c r="F38" s="1"/>
      <c r="G38" s="1">
        <f>428+5380</f>
        <v>5808</v>
      </c>
      <c r="H38" s="1">
        <v>10380</v>
      </c>
      <c r="I38" s="1">
        <v>6820</v>
      </c>
      <c r="J38" s="1">
        <v>4857</v>
      </c>
      <c r="K38" s="1"/>
      <c r="L38" s="1"/>
      <c r="M38" s="1"/>
      <c r="N38" s="1"/>
      <c r="O38" s="14"/>
      <c r="P38" s="12"/>
      <c r="Q38" s="14"/>
      <c r="R38" s="14">
        <v>140</v>
      </c>
      <c r="S38" s="1">
        <f t="shared" si="2"/>
        <v>28005</v>
      </c>
    </row>
    <row r="39" spans="3:20" x14ac:dyDescent="0.25">
      <c r="C39" s="45" t="s">
        <v>59</v>
      </c>
      <c r="D39" s="49">
        <f t="shared" si="1"/>
        <v>140072</v>
      </c>
      <c r="F39" s="1">
        <f>228+13895</f>
        <v>14123</v>
      </c>
      <c r="G39" s="1">
        <f>318+19651</f>
        <v>19969</v>
      </c>
      <c r="H39" s="1">
        <v>23965</v>
      </c>
      <c r="I39" s="1">
        <v>23300</v>
      </c>
      <c r="J39" s="1">
        <v>29339</v>
      </c>
      <c r="K39" s="1"/>
      <c r="L39" s="1"/>
      <c r="M39" s="14"/>
      <c r="N39" s="1"/>
      <c r="O39" s="14"/>
      <c r="P39" s="1"/>
      <c r="Q39" s="14"/>
      <c r="R39" s="14">
        <v>29376</v>
      </c>
      <c r="S39" s="1">
        <f t="shared" si="2"/>
        <v>140072</v>
      </c>
    </row>
    <row r="40" spans="3:20" x14ac:dyDescent="0.25">
      <c r="C40" s="46" t="s">
        <v>61</v>
      </c>
      <c r="D40" s="50">
        <f t="shared" si="1"/>
        <v>98441</v>
      </c>
      <c r="F40" s="1">
        <f>375+10011</f>
        <v>10386</v>
      </c>
      <c r="G40" s="1">
        <f>485+13130</f>
        <v>13615</v>
      </c>
      <c r="H40" s="1">
        <v>17326</v>
      </c>
      <c r="I40" s="1">
        <v>16668</v>
      </c>
      <c r="J40" s="1">
        <v>21495</v>
      </c>
      <c r="K40" s="1"/>
      <c r="L40" s="1"/>
      <c r="M40" s="1"/>
      <c r="N40" s="1"/>
      <c r="O40" s="14"/>
      <c r="P40" s="1"/>
      <c r="Q40" s="14"/>
      <c r="R40" s="14">
        <v>18951</v>
      </c>
      <c r="S40" s="1">
        <f t="shared" si="2"/>
        <v>98441</v>
      </c>
    </row>
    <row r="41" spans="3:20" x14ac:dyDescent="0.25">
      <c r="C41" s="46" t="s">
        <v>98</v>
      </c>
      <c r="D41" s="50">
        <f t="shared" si="1"/>
        <v>27740</v>
      </c>
      <c r="F41" s="1"/>
      <c r="G41" s="1"/>
      <c r="H41" s="1">
        <v>4130</v>
      </c>
      <c r="I41" s="1">
        <v>6490</v>
      </c>
      <c r="J41" s="1">
        <v>7980</v>
      </c>
      <c r="K41" s="1"/>
      <c r="L41" s="1"/>
      <c r="M41" s="1"/>
      <c r="N41" s="1"/>
      <c r="O41" s="14"/>
      <c r="P41" s="1"/>
      <c r="Q41" s="14"/>
      <c r="R41" s="14">
        <v>9140</v>
      </c>
      <c r="S41" s="1">
        <f t="shared" si="2"/>
        <v>27740</v>
      </c>
    </row>
    <row r="42" spans="3:20" x14ac:dyDescent="0.25">
      <c r="C42" s="45" t="s">
        <v>43</v>
      </c>
      <c r="D42" s="49">
        <f t="shared" si="1"/>
        <v>142606</v>
      </c>
      <c r="F42" s="1">
        <f>270+15605</f>
        <v>15875</v>
      </c>
      <c r="G42" s="1">
        <f>414+22593</f>
        <v>23007</v>
      </c>
      <c r="H42" s="1">
        <v>27512</v>
      </c>
      <c r="I42" s="1">
        <v>21727</v>
      </c>
      <c r="J42" s="1">
        <v>27968</v>
      </c>
      <c r="K42" s="1"/>
      <c r="L42" s="1"/>
      <c r="M42" s="1"/>
      <c r="N42" s="1"/>
      <c r="O42" s="14"/>
      <c r="P42" s="1"/>
      <c r="Q42" s="14"/>
      <c r="R42" s="14">
        <v>26517</v>
      </c>
      <c r="S42" s="1">
        <f t="shared" si="2"/>
        <v>142606</v>
      </c>
    </row>
    <row r="43" spans="3:20" x14ac:dyDescent="0.25">
      <c r="C43" s="45" t="s">
        <v>86</v>
      </c>
      <c r="D43" s="49">
        <f t="shared" si="1"/>
        <v>98593</v>
      </c>
      <c r="F43" s="1">
        <f>240+6364</f>
        <v>6604</v>
      </c>
      <c r="G43" s="1">
        <f>321+12959</f>
        <v>13280</v>
      </c>
      <c r="H43" s="1">
        <v>20933</v>
      </c>
      <c r="I43" s="1">
        <v>18517</v>
      </c>
      <c r="J43" s="1">
        <v>20258</v>
      </c>
      <c r="K43" s="1"/>
      <c r="L43" s="1"/>
      <c r="M43" s="1"/>
      <c r="N43" s="1"/>
      <c r="O43" s="14"/>
      <c r="P43" s="1"/>
      <c r="Q43" s="14"/>
      <c r="R43" s="14">
        <v>19001</v>
      </c>
      <c r="S43" s="1">
        <f t="shared" si="2"/>
        <v>98593</v>
      </c>
    </row>
    <row r="44" spans="3:20" ht="15.75" customHeight="1" x14ac:dyDescent="0.25">
      <c r="C44" s="45" t="s">
        <v>90</v>
      </c>
      <c r="D44" s="49">
        <f>+S44</f>
        <v>141367</v>
      </c>
      <c r="F44" s="1"/>
      <c r="G44" s="1">
        <f>90+5262</f>
        <v>5352</v>
      </c>
      <c r="H44" s="1">
        <v>26647</v>
      </c>
      <c r="I44" s="1">
        <v>25033</v>
      </c>
      <c r="J44" s="1">
        <v>40801</v>
      </c>
      <c r="K44" s="1"/>
      <c r="L44" s="1"/>
      <c r="M44" s="1"/>
      <c r="N44" s="1"/>
      <c r="O44" s="87"/>
      <c r="P44" s="2"/>
      <c r="Q44" s="87"/>
      <c r="R44" s="87">
        <v>43534</v>
      </c>
      <c r="S44" s="1">
        <f t="shared" si="2"/>
        <v>141367</v>
      </c>
    </row>
    <row r="45" spans="3:20" x14ac:dyDescent="0.25">
      <c r="C45" s="45" t="s">
        <v>91</v>
      </c>
      <c r="D45" s="49">
        <f>+S45</f>
        <v>81556</v>
      </c>
      <c r="F45" s="1"/>
      <c r="G45" s="1">
        <f>114+2886</f>
        <v>3000</v>
      </c>
      <c r="H45" s="1">
        <v>18971</v>
      </c>
      <c r="I45" s="1">
        <v>16870</v>
      </c>
      <c r="J45" s="1">
        <v>20920</v>
      </c>
      <c r="K45" s="1"/>
      <c r="L45" s="1"/>
      <c r="M45" s="1"/>
      <c r="N45" s="1"/>
      <c r="O45" s="87"/>
      <c r="P45" s="2"/>
      <c r="Q45" s="87"/>
      <c r="R45" s="87">
        <v>21795</v>
      </c>
      <c r="S45" s="1">
        <f t="shared" si="2"/>
        <v>81556</v>
      </c>
    </row>
    <row r="46" spans="3:20" ht="14.25" customHeight="1" x14ac:dyDescent="0.25">
      <c r="C46" s="45" t="s">
        <v>92</v>
      </c>
      <c r="D46" s="49">
        <f>+S46</f>
        <v>71031</v>
      </c>
      <c r="F46" s="1"/>
      <c r="G46" s="1">
        <f>75+3170</f>
        <v>3245</v>
      </c>
      <c r="H46" s="1">
        <v>17782</v>
      </c>
      <c r="I46" s="1">
        <v>14087</v>
      </c>
      <c r="J46" s="1">
        <v>17939</v>
      </c>
      <c r="K46" s="1"/>
      <c r="L46" s="1"/>
      <c r="M46" s="1"/>
      <c r="N46" s="1"/>
      <c r="O46" s="87"/>
      <c r="P46" s="2"/>
      <c r="Q46" s="87"/>
      <c r="R46" s="87">
        <v>17978</v>
      </c>
      <c r="S46" s="1">
        <f t="shared" si="2"/>
        <v>71031</v>
      </c>
    </row>
    <row r="47" spans="3:20" ht="14.25" customHeight="1" x14ac:dyDescent="0.25">
      <c r="C47" s="45" t="s">
        <v>93</v>
      </c>
      <c r="D47" s="49">
        <f>+S47</f>
        <v>70386</v>
      </c>
      <c r="F47" s="1"/>
      <c r="G47" s="1">
        <f>73+3092</f>
        <v>3165</v>
      </c>
      <c r="H47" s="1">
        <v>15650</v>
      </c>
      <c r="I47" s="1">
        <v>14833</v>
      </c>
      <c r="J47" s="1">
        <v>19153</v>
      </c>
      <c r="K47" s="1"/>
      <c r="L47" s="1"/>
      <c r="M47" s="1"/>
      <c r="N47" s="1"/>
      <c r="O47" s="87"/>
      <c r="P47" s="2"/>
      <c r="Q47" s="87"/>
      <c r="R47" s="87">
        <v>17585</v>
      </c>
      <c r="S47" s="1">
        <f t="shared" si="2"/>
        <v>70386</v>
      </c>
    </row>
    <row r="48" spans="3:20" ht="14.25" customHeight="1" x14ac:dyDescent="0.25">
      <c r="C48" s="45" t="s">
        <v>105</v>
      </c>
      <c r="D48" s="49">
        <f>+S48</f>
        <v>31109</v>
      </c>
      <c r="F48" s="1"/>
      <c r="G48" s="1"/>
      <c r="H48" s="1"/>
      <c r="I48" s="1"/>
      <c r="J48" s="1">
        <v>1689</v>
      </c>
      <c r="K48" s="1"/>
      <c r="L48" s="1"/>
      <c r="M48" s="1"/>
      <c r="N48" s="1"/>
      <c r="O48" s="87"/>
      <c r="P48" s="2"/>
      <c r="Q48" s="87"/>
      <c r="R48" s="87">
        <v>29420</v>
      </c>
      <c r="S48" s="1">
        <f t="shared" si="2"/>
        <v>31109</v>
      </c>
    </row>
    <row r="49" spans="3:19" x14ac:dyDescent="0.25">
      <c r="C49" s="46" t="s">
        <v>22</v>
      </c>
      <c r="D49" s="50">
        <f t="shared" si="1"/>
        <v>249666</v>
      </c>
      <c r="F49" s="1">
        <f>1788+520+26790</f>
        <v>29098</v>
      </c>
      <c r="G49" s="1">
        <f>2114+668+34702</f>
        <v>37484</v>
      </c>
      <c r="H49" s="1">
        <v>46414</v>
      </c>
      <c r="I49" s="1">
        <v>37992</v>
      </c>
      <c r="J49" s="1">
        <v>52112</v>
      </c>
      <c r="K49" s="1"/>
      <c r="L49" s="1"/>
      <c r="M49" s="1"/>
      <c r="N49" s="1"/>
      <c r="O49" s="14"/>
      <c r="P49" s="1"/>
      <c r="Q49" s="14"/>
      <c r="R49" s="14">
        <v>46566</v>
      </c>
      <c r="S49" s="1">
        <f t="shared" si="2"/>
        <v>249666</v>
      </c>
    </row>
    <row r="50" spans="3:19" x14ac:dyDescent="0.25">
      <c r="C50" s="45" t="s">
        <v>73</v>
      </c>
      <c r="D50" s="49">
        <f t="shared" si="1"/>
        <v>24799</v>
      </c>
      <c r="E50" s="10"/>
      <c r="F50" s="1"/>
      <c r="G50" s="1">
        <f>105+2270</f>
        <v>2375</v>
      </c>
      <c r="H50" s="1">
        <v>10470</v>
      </c>
      <c r="I50" s="1">
        <v>6869</v>
      </c>
      <c r="J50" s="1">
        <v>3535</v>
      </c>
      <c r="K50" s="1"/>
      <c r="L50" s="1"/>
      <c r="M50" s="1"/>
      <c r="N50" s="1"/>
      <c r="O50" s="14"/>
      <c r="P50" s="1"/>
      <c r="Q50" s="14"/>
      <c r="R50" s="14">
        <v>1550</v>
      </c>
      <c r="S50" s="1">
        <f t="shared" si="2"/>
        <v>24799</v>
      </c>
    </row>
    <row r="51" spans="3:19" ht="13.5" customHeight="1" x14ac:dyDescent="0.25">
      <c r="C51" s="46" t="s">
        <v>62</v>
      </c>
      <c r="D51" s="50">
        <f t="shared" si="1"/>
        <v>34444</v>
      </c>
      <c r="F51" s="1">
        <f>131+4234</f>
        <v>4365</v>
      </c>
      <c r="G51" s="1">
        <f>155+5356</f>
        <v>5511</v>
      </c>
      <c r="H51" s="1">
        <v>6695</v>
      </c>
      <c r="I51" s="1">
        <v>5241</v>
      </c>
      <c r="J51" s="1">
        <v>6452</v>
      </c>
      <c r="K51" s="1"/>
      <c r="L51" s="1"/>
      <c r="M51" s="1"/>
      <c r="N51" s="1"/>
      <c r="O51" s="14"/>
      <c r="P51" s="1"/>
      <c r="Q51" s="14"/>
      <c r="R51" s="14">
        <v>6180</v>
      </c>
      <c r="S51" s="1">
        <f t="shared" si="2"/>
        <v>34444</v>
      </c>
    </row>
    <row r="52" spans="3:19" x14ac:dyDescent="0.25">
      <c r="C52" s="45" t="s">
        <v>24</v>
      </c>
      <c r="D52" s="49">
        <f t="shared" si="1"/>
        <v>42592</v>
      </c>
      <c r="F52" s="1">
        <f>150+5155</f>
        <v>5305</v>
      </c>
      <c r="G52" s="1">
        <f>190+6550</f>
        <v>6740</v>
      </c>
      <c r="H52" s="1">
        <v>8236</v>
      </c>
      <c r="I52" s="1">
        <v>6500</v>
      </c>
      <c r="J52" s="1">
        <v>7949</v>
      </c>
      <c r="K52" s="1"/>
      <c r="L52" s="1"/>
      <c r="M52" s="1"/>
      <c r="N52" s="1"/>
      <c r="O52" s="14"/>
      <c r="P52" s="1"/>
      <c r="Q52" s="14"/>
      <c r="R52" s="14">
        <v>7862</v>
      </c>
      <c r="S52" s="1">
        <f t="shared" si="2"/>
        <v>42592</v>
      </c>
    </row>
    <row r="53" spans="3:19" ht="14.25" customHeight="1" x14ac:dyDescent="0.25">
      <c r="C53" s="46" t="s">
        <v>60</v>
      </c>
      <c r="D53" s="50">
        <f t="shared" si="1"/>
        <v>34929</v>
      </c>
      <c r="F53" s="1">
        <f>120+4292</f>
        <v>4412</v>
      </c>
      <c r="G53" s="1">
        <f>152+5427</f>
        <v>5579</v>
      </c>
      <c r="H53" s="1">
        <v>6813</v>
      </c>
      <c r="I53" s="1">
        <v>5295</v>
      </c>
      <c r="J53" s="1">
        <v>6462</v>
      </c>
      <c r="K53" s="1"/>
      <c r="L53" s="1"/>
      <c r="M53" s="1"/>
      <c r="N53" s="1"/>
      <c r="O53" s="14"/>
      <c r="P53" s="1"/>
      <c r="Q53" s="14"/>
      <c r="R53" s="14">
        <v>6368</v>
      </c>
      <c r="S53" s="1">
        <f t="shared" si="2"/>
        <v>34929</v>
      </c>
    </row>
    <row r="54" spans="3:19" x14ac:dyDescent="0.25">
      <c r="C54" s="45" t="s">
        <v>23</v>
      </c>
      <c r="D54" s="49">
        <f t="shared" si="1"/>
        <v>127726</v>
      </c>
      <c r="F54" s="1">
        <f>363+14024</f>
        <v>14387</v>
      </c>
      <c r="G54" s="1">
        <f>471+17821</f>
        <v>18292</v>
      </c>
      <c r="H54" s="1">
        <v>22550</v>
      </c>
      <c r="I54" s="1">
        <v>19617</v>
      </c>
      <c r="J54" s="1">
        <v>26131</v>
      </c>
      <c r="K54" s="1"/>
      <c r="L54" s="1"/>
      <c r="M54" s="1"/>
      <c r="N54" s="1"/>
      <c r="O54" s="14"/>
      <c r="P54" s="1"/>
      <c r="Q54" s="14"/>
      <c r="R54" s="14">
        <v>26749</v>
      </c>
      <c r="S54" s="1">
        <f t="shared" si="2"/>
        <v>127726</v>
      </c>
    </row>
    <row r="55" spans="3:19" ht="15.75" x14ac:dyDescent="0.25">
      <c r="C55" s="47" t="s">
        <v>57</v>
      </c>
      <c r="D55" s="50">
        <f t="shared" si="1"/>
        <v>208284</v>
      </c>
      <c r="F55" s="1">
        <f>462+25253</f>
        <v>25715</v>
      </c>
      <c r="G55" s="1">
        <f>570+33566+230</f>
        <v>34366</v>
      </c>
      <c r="H55" s="1">
        <v>40054</v>
      </c>
      <c r="I55" s="1">
        <v>30990</v>
      </c>
      <c r="J55" s="1">
        <v>39139</v>
      </c>
      <c r="K55" s="1"/>
      <c r="L55" s="1"/>
      <c r="M55" s="1"/>
      <c r="N55" s="1"/>
      <c r="O55" s="14"/>
      <c r="P55" s="1"/>
      <c r="Q55" s="14"/>
      <c r="R55" s="14">
        <v>38020</v>
      </c>
      <c r="S55" s="1">
        <f t="shared" si="2"/>
        <v>208284</v>
      </c>
    </row>
    <row r="56" spans="3:19" x14ac:dyDescent="0.25">
      <c r="C56" s="45" t="s">
        <v>25</v>
      </c>
      <c r="D56" s="49">
        <f t="shared" si="1"/>
        <v>221619</v>
      </c>
      <c r="F56" s="1">
        <f>864+24868</f>
        <v>25732</v>
      </c>
      <c r="G56" s="1">
        <f>1104+32483</f>
        <v>33587</v>
      </c>
      <c r="H56" s="1">
        <v>42761</v>
      </c>
      <c r="I56" s="1">
        <v>33359</v>
      </c>
      <c r="J56" s="1">
        <v>44805</v>
      </c>
      <c r="K56" s="1"/>
      <c r="L56" s="1"/>
      <c r="M56" s="1"/>
      <c r="N56" s="1"/>
      <c r="O56" s="14"/>
      <c r="P56" s="1"/>
      <c r="Q56" s="14"/>
      <c r="R56" s="14">
        <v>41375</v>
      </c>
      <c r="S56" s="1">
        <f t="shared" si="2"/>
        <v>221619</v>
      </c>
    </row>
    <row r="57" spans="3:19" x14ac:dyDescent="0.25">
      <c r="C57" s="46" t="s">
        <v>26</v>
      </c>
      <c r="D57" s="50">
        <f t="shared" si="1"/>
        <v>105280</v>
      </c>
      <c r="F57" s="1">
        <f>272+16420</f>
        <v>16692</v>
      </c>
      <c r="G57" s="1">
        <f>340+15989</f>
        <v>16329</v>
      </c>
      <c r="H57" s="1">
        <v>19948</v>
      </c>
      <c r="I57" s="1">
        <v>15376</v>
      </c>
      <c r="J57" s="1">
        <v>19332</v>
      </c>
      <c r="K57" s="1"/>
      <c r="L57" s="1"/>
      <c r="M57" s="1"/>
      <c r="N57" s="1"/>
      <c r="O57" s="14"/>
      <c r="P57" s="1"/>
      <c r="Q57" s="14"/>
      <c r="R57" s="14">
        <v>17603</v>
      </c>
      <c r="S57" s="1">
        <f t="shared" si="2"/>
        <v>105280</v>
      </c>
    </row>
    <row r="58" spans="3:19" x14ac:dyDescent="0.25">
      <c r="C58" s="46" t="s">
        <v>99</v>
      </c>
      <c r="D58" s="50">
        <f t="shared" si="1"/>
        <v>27210</v>
      </c>
      <c r="F58" s="1"/>
      <c r="G58" s="1"/>
      <c r="H58" s="1"/>
      <c r="I58" s="1">
        <v>7210</v>
      </c>
      <c r="J58" s="1">
        <v>11000</v>
      </c>
      <c r="K58" s="1"/>
      <c r="L58" s="1"/>
      <c r="M58" s="1"/>
      <c r="N58" s="1"/>
      <c r="O58" s="14"/>
      <c r="P58" s="1"/>
      <c r="Q58" s="14"/>
      <c r="R58" s="14">
        <v>9000</v>
      </c>
      <c r="S58" s="1">
        <f t="shared" si="2"/>
        <v>27210</v>
      </c>
    </row>
    <row r="59" spans="3:19" x14ac:dyDescent="0.25">
      <c r="C59" s="45" t="s">
        <v>34</v>
      </c>
      <c r="D59" s="49">
        <f t="shared" si="1"/>
        <v>138012</v>
      </c>
      <c r="F59" s="1">
        <f>225+16451</f>
        <v>16676</v>
      </c>
      <c r="G59" s="1">
        <f>285+24072</f>
        <v>24357</v>
      </c>
      <c r="H59" s="1">
        <v>30167</v>
      </c>
      <c r="I59" s="1">
        <v>17155</v>
      </c>
      <c r="J59" s="1">
        <v>28800</v>
      </c>
      <c r="K59" s="1"/>
      <c r="L59" s="1"/>
      <c r="M59" s="1"/>
      <c r="N59" s="1"/>
      <c r="O59" s="14"/>
      <c r="P59" s="1"/>
      <c r="Q59" s="14"/>
      <c r="R59" s="14">
        <v>20857</v>
      </c>
      <c r="S59" s="1">
        <f t="shared" si="2"/>
        <v>138012</v>
      </c>
    </row>
    <row r="60" spans="3:19" ht="15" customHeight="1" x14ac:dyDescent="0.25">
      <c r="C60" s="46" t="s">
        <v>42</v>
      </c>
      <c r="D60" s="50">
        <f t="shared" si="1"/>
        <v>107133</v>
      </c>
      <c r="F60" s="1">
        <f>475+9728</f>
        <v>10203</v>
      </c>
      <c r="G60" s="1">
        <f>552+14353</f>
        <v>14905</v>
      </c>
      <c r="H60" s="1">
        <v>19800</v>
      </c>
      <c r="I60" s="1">
        <v>18839</v>
      </c>
      <c r="J60" s="1">
        <v>21285</v>
      </c>
      <c r="K60" s="1"/>
      <c r="L60" s="1"/>
      <c r="M60" s="1"/>
      <c r="N60" s="1"/>
      <c r="O60" s="14"/>
      <c r="P60" s="1"/>
      <c r="Q60" s="14"/>
      <c r="R60" s="14">
        <v>22101</v>
      </c>
      <c r="S60" s="1">
        <f t="shared" si="2"/>
        <v>107133</v>
      </c>
    </row>
    <row r="61" spans="3:19" ht="15" customHeight="1" x14ac:dyDescent="0.25">
      <c r="C61" s="45" t="s">
        <v>58</v>
      </c>
      <c r="D61" s="49">
        <f t="shared" si="1"/>
        <v>177359</v>
      </c>
      <c r="F61" s="1">
        <f>340+28715</f>
        <v>29055</v>
      </c>
      <c r="G61" s="1">
        <f>494+30295</f>
        <v>30789</v>
      </c>
      <c r="H61" s="1">
        <v>34183</v>
      </c>
      <c r="I61" s="1">
        <v>28490</v>
      </c>
      <c r="J61" s="1">
        <v>30761</v>
      </c>
      <c r="K61" s="1"/>
      <c r="L61" s="1"/>
      <c r="M61" s="1"/>
      <c r="N61" s="1"/>
      <c r="O61" s="14"/>
      <c r="P61" s="1"/>
      <c r="Q61" s="14"/>
      <c r="R61" s="14">
        <v>24081</v>
      </c>
      <c r="S61" s="1">
        <f t="shared" si="2"/>
        <v>177359</v>
      </c>
    </row>
    <row r="62" spans="3:19" x14ac:dyDescent="0.25">
      <c r="C62" s="46" t="s">
        <v>40</v>
      </c>
      <c r="D62" s="50">
        <f t="shared" si="1"/>
        <v>70950</v>
      </c>
      <c r="F62" s="1">
        <f>480+7105</f>
        <v>7585</v>
      </c>
      <c r="G62" s="1">
        <f>608+9833</f>
        <v>10441</v>
      </c>
      <c r="H62" s="1">
        <v>12563</v>
      </c>
      <c r="I62" s="1">
        <v>11173</v>
      </c>
      <c r="J62" s="1">
        <v>14107</v>
      </c>
      <c r="K62" s="1"/>
      <c r="L62" s="1"/>
      <c r="M62" s="1"/>
      <c r="N62" s="1"/>
      <c r="O62" s="14"/>
      <c r="P62" s="1"/>
      <c r="Q62" s="14"/>
      <c r="R62" s="14">
        <v>15081</v>
      </c>
      <c r="S62" s="1">
        <f t="shared" si="2"/>
        <v>70950</v>
      </c>
    </row>
    <row r="63" spans="3:19" ht="13.5" customHeight="1" x14ac:dyDescent="0.25">
      <c r="C63" s="45" t="s">
        <v>29</v>
      </c>
      <c r="D63" s="49">
        <f t="shared" si="1"/>
        <v>185822</v>
      </c>
      <c r="F63" s="1">
        <f>241+22040</f>
        <v>22281</v>
      </c>
      <c r="G63" s="1">
        <f>322+29233</f>
        <v>29555</v>
      </c>
      <c r="H63" s="1">
        <v>34841</v>
      </c>
      <c r="I63" s="1">
        <v>28520</v>
      </c>
      <c r="J63" s="1">
        <v>34187</v>
      </c>
      <c r="K63" s="1"/>
      <c r="L63" s="1"/>
      <c r="M63" s="1"/>
      <c r="N63" s="1"/>
      <c r="O63" s="14"/>
      <c r="P63" s="1"/>
      <c r="Q63" s="14"/>
      <c r="R63" s="14">
        <v>36438</v>
      </c>
      <c r="S63" s="1">
        <f t="shared" si="2"/>
        <v>185822</v>
      </c>
    </row>
    <row r="64" spans="3:19" ht="14.25" customHeight="1" x14ac:dyDescent="0.25">
      <c r="C64" s="46" t="s">
        <v>27</v>
      </c>
      <c r="D64" s="50">
        <f t="shared" si="1"/>
        <v>174191</v>
      </c>
      <c r="F64" s="1">
        <f>476+16179+1000</f>
        <v>17655</v>
      </c>
      <c r="G64" s="1">
        <f>597+24089</f>
        <v>24686</v>
      </c>
      <c r="H64" s="1">
        <v>36313</v>
      </c>
      <c r="I64" s="1">
        <v>27569</v>
      </c>
      <c r="J64" s="1">
        <v>38227</v>
      </c>
      <c r="K64" s="1"/>
      <c r="L64" s="1"/>
      <c r="M64" s="1"/>
      <c r="N64" s="1"/>
      <c r="O64" s="14"/>
      <c r="P64" s="1"/>
      <c r="Q64" s="14"/>
      <c r="R64" s="14">
        <v>29741</v>
      </c>
      <c r="S64" s="1">
        <f t="shared" si="2"/>
        <v>174191</v>
      </c>
    </row>
    <row r="65" spans="3:21" ht="14.25" customHeight="1" x14ac:dyDescent="0.25">
      <c r="C65" s="46" t="s">
        <v>106</v>
      </c>
      <c r="D65" s="50">
        <f t="shared" si="1"/>
        <v>5105</v>
      </c>
      <c r="F65" s="1"/>
      <c r="G65" s="1"/>
      <c r="H65" s="1"/>
      <c r="I65" s="1"/>
      <c r="J65" s="1"/>
      <c r="K65" s="1"/>
      <c r="L65" s="1"/>
      <c r="M65" s="1"/>
      <c r="N65" s="1"/>
      <c r="O65" s="14"/>
      <c r="P65" s="1"/>
      <c r="Q65" s="14"/>
      <c r="R65" s="14">
        <v>5105</v>
      </c>
      <c r="S65" s="1">
        <f t="shared" si="2"/>
        <v>5105</v>
      </c>
    </row>
    <row r="66" spans="3:21" x14ac:dyDescent="0.25">
      <c r="C66" s="45" t="s">
        <v>33</v>
      </c>
      <c r="D66" s="49">
        <f t="shared" si="1"/>
        <v>146521</v>
      </c>
      <c r="F66" s="1">
        <f>225+16021</f>
        <v>16246</v>
      </c>
      <c r="G66" s="1">
        <f>285+20929</f>
        <v>21214</v>
      </c>
      <c r="H66" s="1">
        <v>28297</v>
      </c>
      <c r="I66" s="1">
        <v>21928</v>
      </c>
      <c r="J66" s="1">
        <v>31295</v>
      </c>
      <c r="K66" s="1"/>
      <c r="L66" s="1"/>
      <c r="M66" s="1"/>
      <c r="N66" s="1"/>
      <c r="O66" s="14"/>
      <c r="P66" s="1"/>
      <c r="Q66" s="14"/>
      <c r="R66" s="98">
        <v>27541</v>
      </c>
      <c r="S66" s="1">
        <f t="shared" si="2"/>
        <v>146521</v>
      </c>
    </row>
    <row r="67" spans="3:21" ht="15" customHeight="1" x14ac:dyDescent="0.25">
      <c r="C67" s="46" t="s">
        <v>28</v>
      </c>
      <c r="D67" s="50">
        <f t="shared" si="1"/>
        <v>150879</v>
      </c>
      <c r="F67" s="1">
        <f>270+13982</f>
        <v>14252</v>
      </c>
      <c r="G67" s="1">
        <f>392+21010</f>
        <v>21402</v>
      </c>
      <c r="H67" s="1">
        <v>28989</v>
      </c>
      <c r="I67" s="1">
        <v>23266</v>
      </c>
      <c r="J67" s="1">
        <v>30467</v>
      </c>
      <c r="K67" s="1"/>
      <c r="L67" s="1"/>
      <c r="M67" s="1"/>
      <c r="N67" s="1"/>
      <c r="O67" s="14"/>
      <c r="P67" s="1"/>
      <c r="Q67" s="14"/>
      <c r="R67" s="14">
        <v>32503</v>
      </c>
      <c r="S67" s="1">
        <f t="shared" si="2"/>
        <v>150879</v>
      </c>
    </row>
    <row r="68" spans="3:21" ht="15.75" customHeight="1" x14ac:dyDescent="0.25">
      <c r="C68" s="45" t="s">
        <v>37</v>
      </c>
      <c r="D68" s="49">
        <f t="shared" si="1"/>
        <v>252848</v>
      </c>
      <c r="F68" s="1">
        <f>407+28559</f>
        <v>28966</v>
      </c>
      <c r="G68" s="1">
        <f>495+38853+600</f>
        <v>39948</v>
      </c>
      <c r="H68" s="1">
        <v>50731</v>
      </c>
      <c r="I68" s="1">
        <v>38612</v>
      </c>
      <c r="J68" s="1">
        <v>49477</v>
      </c>
      <c r="K68" s="1"/>
      <c r="L68" s="1"/>
      <c r="M68" s="1"/>
      <c r="N68" s="1"/>
      <c r="O68" s="14"/>
      <c r="P68" s="1"/>
      <c r="Q68" s="14"/>
      <c r="R68" s="14">
        <v>45114</v>
      </c>
      <c r="S68" s="1">
        <f t="shared" si="2"/>
        <v>252848</v>
      </c>
    </row>
    <row r="69" spans="3:21" ht="16.5" customHeight="1" x14ac:dyDescent="0.25">
      <c r="C69" s="45" t="s">
        <v>97</v>
      </c>
      <c r="D69" s="49">
        <f>S69</f>
        <v>38482</v>
      </c>
      <c r="F69" s="1"/>
      <c r="G69" s="1">
        <f>259+1517</f>
        <v>1776</v>
      </c>
      <c r="H69" s="1">
        <v>21464</v>
      </c>
      <c r="I69" s="1">
        <v>12900</v>
      </c>
      <c r="J69" s="1">
        <v>740</v>
      </c>
      <c r="K69" s="1"/>
      <c r="L69" s="1"/>
      <c r="M69" s="1"/>
      <c r="N69" s="1"/>
      <c r="O69" s="14"/>
      <c r="P69" s="1"/>
      <c r="Q69" s="14"/>
      <c r="R69" s="14">
        <v>1602</v>
      </c>
      <c r="S69" s="1">
        <f t="shared" si="2"/>
        <v>38482</v>
      </c>
    </row>
    <row r="70" spans="3:21" ht="12.75" customHeight="1" x14ac:dyDescent="0.25">
      <c r="C70" s="46" t="s">
        <v>39</v>
      </c>
      <c r="D70" s="50">
        <f t="shared" si="1"/>
        <v>222728</v>
      </c>
      <c r="F70" s="1">
        <f>448+19927</f>
        <v>20375</v>
      </c>
      <c r="G70" s="1">
        <f>608+35699+200</f>
        <v>36507</v>
      </c>
      <c r="H70" s="1">
        <v>43218</v>
      </c>
      <c r="I70" s="1">
        <v>33145</v>
      </c>
      <c r="J70" s="1">
        <v>41690</v>
      </c>
      <c r="K70" s="1"/>
      <c r="L70" s="1"/>
      <c r="M70" s="1"/>
      <c r="N70" s="1"/>
      <c r="O70" s="14"/>
      <c r="P70" s="1"/>
      <c r="Q70" s="14"/>
      <c r="R70" s="14">
        <v>47793</v>
      </c>
      <c r="S70" s="1">
        <f t="shared" si="2"/>
        <v>222728</v>
      </c>
    </row>
    <row r="71" spans="3:21" ht="15" customHeight="1" x14ac:dyDescent="0.25">
      <c r="C71" s="45" t="s">
        <v>70</v>
      </c>
      <c r="D71" s="49">
        <f t="shared" si="1"/>
        <v>181561</v>
      </c>
      <c r="F71" s="1">
        <f>220+20369</f>
        <v>20589</v>
      </c>
      <c r="G71" s="1">
        <f>278+26967</f>
        <v>27245</v>
      </c>
      <c r="H71" s="1">
        <v>34569</v>
      </c>
      <c r="I71" s="1">
        <v>30370</v>
      </c>
      <c r="J71" s="1">
        <v>35919</v>
      </c>
      <c r="K71" s="1"/>
      <c r="L71" s="1"/>
      <c r="M71" s="1"/>
      <c r="N71" s="1"/>
      <c r="O71" s="14"/>
      <c r="P71" s="1"/>
      <c r="Q71" s="14"/>
      <c r="R71" s="14">
        <v>32869</v>
      </c>
      <c r="S71" s="1">
        <f t="shared" si="2"/>
        <v>181561</v>
      </c>
    </row>
    <row r="72" spans="3:21" ht="12.75" customHeight="1" x14ac:dyDescent="0.25">
      <c r="C72" s="46" t="s">
        <v>30</v>
      </c>
      <c r="D72" s="50">
        <f t="shared" si="1"/>
        <v>176770</v>
      </c>
      <c r="F72" s="1">
        <f>363+19034</f>
        <v>19397</v>
      </c>
      <c r="G72" s="1">
        <f>484+26680</f>
        <v>27164</v>
      </c>
      <c r="H72" s="1">
        <v>33369</v>
      </c>
      <c r="I72" s="1">
        <v>27240</v>
      </c>
      <c r="J72" s="1">
        <v>34466</v>
      </c>
      <c r="K72" s="1"/>
      <c r="L72" s="1"/>
      <c r="M72" s="1"/>
      <c r="N72" s="1"/>
      <c r="O72" s="14"/>
      <c r="P72" s="1"/>
      <c r="Q72" s="14"/>
      <c r="R72" s="14">
        <v>35134</v>
      </c>
      <c r="S72" s="1">
        <f t="shared" ref="S72:S82" si="4">R72+J72+I72+H72+G72+F72</f>
        <v>176770</v>
      </c>
      <c r="U72" s="10"/>
    </row>
    <row r="73" spans="3:21" ht="13.5" customHeight="1" x14ac:dyDescent="0.25">
      <c r="C73" s="45" t="s">
        <v>31</v>
      </c>
      <c r="D73" s="49">
        <f t="shared" si="1"/>
        <v>108271</v>
      </c>
      <c r="F73" s="1">
        <f>510+11663</f>
        <v>12173</v>
      </c>
      <c r="G73" s="1">
        <f>646+16064</f>
        <v>16710</v>
      </c>
      <c r="H73" s="1">
        <v>20199</v>
      </c>
      <c r="I73" s="1">
        <v>16392</v>
      </c>
      <c r="J73" s="1">
        <v>21680</v>
      </c>
      <c r="K73" s="1"/>
      <c r="L73" s="1"/>
      <c r="M73" s="1"/>
      <c r="N73" s="1"/>
      <c r="O73" s="14"/>
      <c r="P73" s="1"/>
      <c r="Q73" s="14"/>
      <c r="R73" s="14">
        <v>21117</v>
      </c>
      <c r="S73" s="1">
        <f t="shared" si="4"/>
        <v>108271</v>
      </c>
      <c r="U73" s="4"/>
    </row>
    <row r="74" spans="3:21" x14ac:dyDescent="0.25">
      <c r="C74" s="41" t="s">
        <v>32</v>
      </c>
      <c r="D74" s="50">
        <f t="shared" si="1"/>
        <v>200031</v>
      </c>
      <c r="F74" s="1">
        <f>343+23204</f>
        <v>23547</v>
      </c>
      <c r="G74" s="1">
        <f>415+31062+100</f>
        <v>31577</v>
      </c>
      <c r="H74" s="1">
        <v>41436</v>
      </c>
      <c r="I74" s="1">
        <v>30471</v>
      </c>
      <c r="J74" s="1">
        <v>37776</v>
      </c>
      <c r="K74" s="1"/>
      <c r="L74" s="1"/>
      <c r="M74" s="1"/>
      <c r="N74" s="1"/>
      <c r="O74" s="14"/>
      <c r="P74" s="1"/>
      <c r="Q74" s="14"/>
      <c r="R74" s="14">
        <v>35224</v>
      </c>
      <c r="S74" s="1">
        <f t="shared" si="4"/>
        <v>200031</v>
      </c>
    </row>
    <row r="75" spans="3:21" x14ac:dyDescent="0.25">
      <c r="C75" s="41" t="s">
        <v>103</v>
      </c>
      <c r="D75" s="50">
        <f t="shared" si="1"/>
        <v>41841</v>
      </c>
      <c r="F75" s="1"/>
      <c r="G75" s="1"/>
      <c r="H75" s="1"/>
      <c r="I75" s="1"/>
      <c r="J75" s="1">
        <v>11935</v>
      </c>
      <c r="K75" s="1"/>
      <c r="L75" s="1"/>
      <c r="M75" s="1"/>
      <c r="N75" s="1"/>
      <c r="O75" s="14"/>
      <c r="P75" s="1"/>
      <c r="Q75" s="14"/>
      <c r="R75" s="14">
        <v>29906</v>
      </c>
      <c r="S75" s="1">
        <f t="shared" si="4"/>
        <v>41841</v>
      </c>
    </row>
    <row r="76" spans="3:21" x14ac:dyDescent="0.25">
      <c r="C76" s="45" t="s">
        <v>75</v>
      </c>
      <c r="D76" s="49">
        <f t="shared" si="1"/>
        <v>155104</v>
      </c>
      <c r="F76" s="1">
        <f>300+18102</f>
        <v>18402</v>
      </c>
      <c r="G76" s="1">
        <f>380+24540</f>
        <v>24920</v>
      </c>
      <c r="H76" s="1">
        <v>30178</v>
      </c>
      <c r="I76" s="1">
        <v>23689</v>
      </c>
      <c r="J76" s="1">
        <v>29810</v>
      </c>
      <c r="K76" s="1"/>
      <c r="L76" s="1"/>
      <c r="M76" s="1"/>
      <c r="N76" s="1"/>
      <c r="O76" s="14"/>
      <c r="P76" s="1"/>
      <c r="Q76" s="14"/>
      <c r="R76" s="14">
        <v>28105</v>
      </c>
      <c r="S76" s="1">
        <f t="shared" si="4"/>
        <v>155104</v>
      </c>
    </row>
    <row r="77" spans="3:21" x14ac:dyDescent="0.25">
      <c r="C77" s="46" t="s">
        <v>38</v>
      </c>
      <c r="D77" s="50">
        <f t="shared" si="1"/>
        <v>179178</v>
      </c>
      <c r="F77" s="1">
        <f>300+18014</f>
        <v>18314</v>
      </c>
      <c r="G77" s="1">
        <f>380+23881</f>
        <v>24261</v>
      </c>
      <c r="H77" s="1">
        <v>34402</v>
      </c>
      <c r="I77" s="1">
        <v>30275</v>
      </c>
      <c r="J77" s="1">
        <v>37606</v>
      </c>
      <c r="K77" s="1"/>
      <c r="L77" s="1"/>
      <c r="M77" s="1"/>
      <c r="N77" s="1"/>
      <c r="O77" s="14"/>
      <c r="P77" s="1"/>
      <c r="Q77" s="14"/>
      <c r="R77" s="14">
        <v>34320</v>
      </c>
      <c r="S77" s="1">
        <f t="shared" si="4"/>
        <v>179178</v>
      </c>
    </row>
    <row r="78" spans="3:21" x14ac:dyDescent="0.25">
      <c r="C78" s="45" t="s">
        <v>35</v>
      </c>
      <c r="D78" s="49">
        <f t="shared" si="1"/>
        <v>72485</v>
      </c>
      <c r="F78" s="1">
        <f>470+8703</f>
        <v>9173</v>
      </c>
      <c r="G78" s="1">
        <f>666+10920+300</f>
        <v>11886</v>
      </c>
      <c r="H78" s="1">
        <v>13834</v>
      </c>
      <c r="I78" s="1">
        <v>10890</v>
      </c>
      <c r="J78" s="1">
        <v>15409</v>
      </c>
      <c r="K78" s="1"/>
      <c r="L78" s="1"/>
      <c r="M78" s="1"/>
      <c r="N78" s="1"/>
      <c r="O78" s="14"/>
      <c r="P78" s="1"/>
      <c r="Q78" s="14"/>
      <c r="R78" s="14">
        <v>11293</v>
      </c>
      <c r="S78" s="1">
        <f t="shared" si="4"/>
        <v>72485</v>
      </c>
    </row>
    <row r="79" spans="3:21" x14ac:dyDescent="0.25">
      <c r="C79" s="46" t="s">
        <v>65</v>
      </c>
      <c r="D79" s="50">
        <f t="shared" si="1"/>
        <v>147045</v>
      </c>
      <c r="F79" s="1">
        <f>195+17667</f>
        <v>17862</v>
      </c>
      <c r="G79" s="1">
        <f>212+21748</f>
        <v>21960</v>
      </c>
      <c r="H79" s="1">
        <v>30306</v>
      </c>
      <c r="I79" s="1">
        <v>21627</v>
      </c>
      <c r="J79" s="1">
        <v>29304</v>
      </c>
      <c r="K79" s="1"/>
      <c r="L79" s="1"/>
      <c r="M79" s="1"/>
      <c r="N79" s="1"/>
      <c r="O79" s="14"/>
      <c r="P79" s="1"/>
      <c r="Q79" s="14"/>
      <c r="R79" s="14">
        <v>25986</v>
      </c>
      <c r="S79" s="1">
        <f t="shared" si="4"/>
        <v>147045</v>
      </c>
    </row>
    <row r="80" spans="3:21" x14ac:dyDescent="0.25">
      <c r="C80" s="45" t="s">
        <v>36</v>
      </c>
      <c r="D80" s="49">
        <f t="shared" si="1"/>
        <v>203828</v>
      </c>
      <c r="F80" s="1">
        <f>495+23245</f>
        <v>23740</v>
      </c>
      <c r="G80" s="1">
        <f>627+30081</f>
        <v>30708</v>
      </c>
      <c r="H80" s="1">
        <v>38226</v>
      </c>
      <c r="I80" s="1">
        <v>30778</v>
      </c>
      <c r="J80" s="1">
        <v>42380</v>
      </c>
      <c r="K80" s="1"/>
      <c r="L80" s="1"/>
      <c r="M80" s="1"/>
      <c r="N80" s="1"/>
      <c r="O80" s="14"/>
      <c r="P80" s="1"/>
      <c r="Q80" s="14"/>
      <c r="R80" s="14">
        <v>37996</v>
      </c>
      <c r="S80" s="1">
        <f t="shared" si="4"/>
        <v>203828</v>
      </c>
    </row>
    <row r="81" spans="3:26" x14ac:dyDescent="0.25">
      <c r="C81" s="46" t="s">
        <v>69</v>
      </c>
      <c r="D81" s="50">
        <f t="shared" si="1"/>
        <v>174563</v>
      </c>
      <c r="F81" s="1">
        <f>405+18992+900</f>
        <v>20297</v>
      </c>
      <c r="G81" s="1">
        <f>513+20290+1400</f>
        <v>22203</v>
      </c>
      <c r="H81" s="1">
        <v>31675</v>
      </c>
      <c r="I81" s="1">
        <v>25645</v>
      </c>
      <c r="J81" s="1">
        <v>38536</v>
      </c>
      <c r="K81" s="1"/>
      <c r="L81" s="1"/>
      <c r="M81" s="1"/>
      <c r="N81" s="1"/>
      <c r="O81" s="14"/>
      <c r="P81" s="1"/>
      <c r="Q81" s="14"/>
      <c r="R81" s="14">
        <v>36207</v>
      </c>
      <c r="S81" s="1">
        <f t="shared" si="4"/>
        <v>174563</v>
      </c>
    </row>
    <row r="82" spans="3:26" x14ac:dyDescent="0.25">
      <c r="C82" s="45" t="s">
        <v>41</v>
      </c>
      <c r="D82" s="49">
        <f t="shared" si="1"/>
        <v>151337</v>
      </c>
      <c r="F82" s="1">
        <f>600+17937</f>
        <v>18537</v>
      </c>
      <c r="G82" s="1">
        <f>880+23457</f>
        <v>24337</v>
      </c>
      <c r="H82" s="1">
        <v>28556</v>
      </c>
      <c r="I82" s="1">
        <v>23615</v>
      </c>
      <c r="J82" s="1">
        <v>29495</v>
      </c>
      <c r="K82" s="1"/>
      <c r="L82" s="1"/>
      <c r="M82" s="1"/>
      <c r="N82" s="1"/>
      <c r="O82" s="14"/>
      <c r="P82" s="1"/>
      <c r="Q82" s="14"/>
      <c r="R82" s="87">
        <v>26797</v>
      </c>
      <c r="S82" s="1">
        <f t="shared" si="4"/>
        <v>151337</v>
      </c>
    </row>
    <row r="83" spans="3:26" x14ac:dyDescent="0.25">
      <c r="C83" s="45"/>
      <c r="D83" s="49"/>
      <c r="F83" s="1"/>
      <c r="G83" s="1"/>
      <c r="H83" s="1"/>
      <c r="I83" s="1"/>
      <c r="J83" s="1"/>
      <c r="K83" s="1"/>
      <c r="L83" s="1"/>
      <c r="M83" s="1"/>
      <c r="N83" s="1"/>
      <c r="O83" s="87"/>
      <c r="P83" s="2"/>
      <c r="Q83" s="87"/>
      <c r="R83" s="87"/>
      <c r="S83" s="1"/>
    </row>
    <row r="84" spans="3:26" x14ac:dyDescent="0.25">
      <c r="C84" s="45"/>
      <c r="D84" s="49"/>
      <c r="F84" s="1"/>
      <c r="G84" s="1"/>
      <c r="H84" s="1"/>
      <c r="I84" s="1"/>
      <c r="J84" s="1"/>
      <c r="K84" s="1"/>
      <c r="L84" s="1"/>
      <c r="M84" s="1"/>
      <c r="N84" s="1"/>
      <c r="O84" s="87"/>
      <c r="P84" s="2"/>
      <c r="Q84" s="87"/>
      <c r="R84" s="87"/>
      <c r="S84" s="1"/>
    </row>
    <row r="85" spans="3:26" ht="15.75" customHeight="1" x14ac:dyDescent="0.25">
      <c r="C85" s="41" t="s">
        <v>44</v>
      </c>
      <c r="D85" s="50">
        <f>SUM(D7:D84)</f>
        <v>13733389</v>
      </c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  <c r="R85" s="2"/>
      <c r="S85" s="1"/>
    </row>
    <row r="86" spans="3:26" ht="15.75" thickBot="1" x14ac:dyDescent="0.3">
      <c r="C86" s="42" t="s">
        <v>45</v>
      </c>
      <c r="D86" s="51">
        <f>D85+D5</f>
        <v>15118265</v>
      </c>
      <c r="F86" s="15">
        <f t="shared" ref="F86:S86" si="5">SUM(F7:F85)</f>
        <v>1455930</v>
      </c>
      <c r="G86" s="15">
        <f t="shared" si="5"/>
        <v>2078782</v>
      </c>
      <c r="H86" s="15">
        <f t="shared" si="5"/>
        <v>2718327</v>
      </c>
      <c r="I86" s="15">
        <f t="shared" si="5"/>
        <v>2178631</v>
      </c>
      <c r="J86" s="15">
        <f t="shared" si="5"/>
        <v>2729809</v>
      </c>
      <c r="K86" s="15">
        <f t="shared" si="5"/>
        <v>0</v>
      </c>
      <c r="L86" s="15">
        <f t="shared" si="5"/>
        <v>0</v>
      </c>
      <c r="M86" s="15">
        <f t="shared" si="5"/>
        <v>0</v>
      </c>
      <c r="N86" s="15">
        <f t="shared" si="5"/>
        <v>0</v>
      </c>
      <c r="O86" s="16">
        <f t="shared" si="5"/>
        <v>0</v>
      </c>
      <c r="P86" s="16">
        <f t="shared" si="5"/>
        <v>0</v>
      </c>
      <c r="Q86" s="16">
        <f t="shared" si="5"/>
        <v>0</v>
      </c>
      <c r="R86" s="16">
        <f>SUM(R7:R85)</f>
        <v>2571910</v>
      </c>
      <c r="S86" s="15">
        <f t="shared" si="5"/>
        <v>13733389</v>
      </c>
      <c r="T86" s="10"/>
    </row>
    <row r="87" spans="3:26" x14ac:dyDescent="0.25">
      <c r="C87" s="43"/>
      <c r="D87" s="52">
        <f>SUM(D7:D82)</f>
        <v>13733389</v>
      </c>
      <c r="E87" s="94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3:26" ht="15.75" thickBot="1" x14ac:dyDescent="0.3">
      <c r="D88" s="44"/>
      <c r="E88" s="4"/>
      <c r="F88" s="93">
        <f>F5+F86</f>
        <v>1646818</v>
      </c>
      <c r="G88" s="93">
        <f>G5+G86</f>
        <v>2281241</v>
      </c>
      <c r="H88" s="93">
        <f>H5+H86</f>
        <v>2976678</v>
      </c>
      <c r="I88" s="93">
        <f>I86+I6</f>
        <v>2435122</v>
      </c>
      <c r="J88" s="84">
        <f>J5+J86</f>
        <v>2982900</v>
      </c>
      <c r="K88" s="84">
        <f>K86+K6</f>
        <v>0</v>
      </c>
      <c r="L88" s="84">
        <f>L86+L6</f>
        <v>0</v>
      </c>
      <c r="M88" s="85">
        <f t="shared" ref="M88:S88" si="6">+M6+M86</f>
        <v>0</v>
      </c>
      <c r="N88" s="85">
        <f t="shared" si="6"/>
        <v>0</v>
      </c>
      <c r="O88" s="84">
        <f t="shared" si="6"/>
        <v>0</v>
      </c>
      <c r="P88" s="84">
        <f t="shared" si="6"/>
        <v>0</v>
      </c>
      <c r="Q88" s="84">
        <f t="shared" si="6"/>
        <v>0</v>
      </c>
      <c r="R88" s="84">
        <f>R86+R6</f>
        <v>2795506</v>
      </c>
      <c r="S88" s="3">
        <f t="shared" si="6"/>
        <v>15118265</v>
      </c>
      <c r="T88" s="10"/>
    </row>
    <row r="89" spans="3:26" ht="17.25" customHeight="1" x14ac:dyDescent="0.25">
      <c r="D89" s="53"/>
      <c r="E89" t="s">
        <v>56</v>
      </c>
      <c r="F89" s="34">
        <v>76.23</v>
      </c>
      <c r="G89" s="34">
        <v>76.39</v>
      </c>
      <c r="H89" s="34">
        <v>71.05</v>
      </c>
      <c r="I89" s="34"/>
      <c r="J89" s="34">
        <v>68.33</v>
      </c>
      <c r="K89" s="34" t="e">
        <f t="shared" ref="K89" si="7">+K90/K88</f>
        <v>#DIV/0!</v>
      </c>
      <c r="L89" s="34" t="e">
        <f>+L90/L88</f>
        <v>#DIV/0!</v>
      </c>
      <c r="M89" s="34" t="e">
        <f>+M90/M88</f>
        <v>#DIV/0!</v>
      </c>
      <c r="N89" s="34">
        <v>50.18</v>
      </c>
      <c r="O89" s="34" t="e">
        <f>+O90/O88</f>
        <v>#DIV/0!</v>
      </c>
      <c r="P89" s="35" t="e">
        <f>+P90/P88</f>
        <v>#DIV/0!</v>
      </c>
      <c r="Q89" s="53" t="e">
        <f>+Q90/Q88</f>
        <v>#DIV/0!</v>
      </c>
      <c r="R89" s="53">
        <v>70.48</v>
      </c>
      <c r="S89" s="33"/>
      <c r="W89" s="55"/>
      <c r="X89" s="56"/>
      <c r="Y89" s="57"/>
    </row>
    <row r="90" spans="3:26" ht="15.75" x14ac:dyDescent="0.25">
      <c r="D90" s="44"/>
      <c r="F90" s="91">
        <f>F89*F86</f>
        <v>110985543.90000001</v>
      </c>
      <c r="G90" s="92">
        <f>G86*G89</f>
        <v>158798156.97999999</v>
      </c>
      <c r="H90" s="92">
        <f>H86*H89</f>
        <v>193137133.34999999</v>
      </c>
      <c r="I90" s="5">
        <f>I86*84.88</f>
        <v>184922199.28</v>
      </c>
      <c r="J90" s="5">
        <f>J86*68.33</f>
        <v>186527848.97</v>
      </c>
      <c r="K90" s="5"/>
      <c r="L90" s="5"/>
      <c r="M90" s="5"/>
      <c r="N90" s="19"/>
      <c r="O90" s="19"/>
      <c r="P90" s="19"/>
      <c r="Q90" s="19"/>
      <c r="R90" s="19">
        <f>R86*R89</f>
        <v>181268216.80000001</v>
      </c>
      <c r="S90" s="84"/>
      <c r="T90" s="9"/>
      <c r="W90" s="58"/>
      <c r="X90" s="59"/>
      <c r="Y90" s="60"/>
    </row>
    <row r="91" spans="3:26" x14ac:dyDescent="0.25">
      <c r="W91" s="61"/>
      <c r="X91" s="62"/>
      <c r="Y91" s="60"/>
    </row>
    <row r="92" spans="3:26" ht="15.75" thickBot="1" x14ac:dyDescent="0.3">
      <c r="D92" s="44"/>
      <c r="E92" s="81" t="s">
        <v>87</v>
      </c>
      <c r="F92" s="10">
        <f>65*50299+30*8265+45*12530+119794*76.23</f>
        <v>13213131.620000001</v>
      </c>
      <c r="G92" s="10">
        <f>49106*65+6495*30+11257*45+135601*76.39</f>
        <v>14251865.390000001</v>
      </c>
      <c r="H92" s="10">
        <f>186470*71.05+71881*58.1118098</f>
        <v>17425828.500233799</v>
      </c>
      <c r="I92" s="10">
        <f>186405*84.88+70086*59.60013412</f>
        <v>19999191.399934318</v>
      </c>
      <c r="J92" s="10">
        <f>178981*68.33+74110*58.37532047</f>
        <v>16555966.730031699</v>
      </c>
      <c r="K92" s="8"/>
      <c r="L92" s="9"/>
      <c r="M92" s="9"/>
      <c r="N92" s="9"/>
      <c r="O92" s="10"/>
      <c r="P92" s="9"/>
      <c r="Q92" s="10"/>
      <c r="R92" s="10">
        <f>154406*70.48+69190*58.1606446</f>
        <v>14906669.879874</v>
      </c>
      <c r="S92" s="8">
        <f>SUM(F92:R92)</f>
        <v>96352653.520073831</v>
      </c>
      <c r="T92" s="4"/>
      <c r="U92" s="4"/>
      <c r="W92" s="63"/>
      <c r="X92" s="64"/>
      <c r="Y92" s="65"/>
    </row>
    <row r="93" spans="3:26" x14ac:dyDescent="0.25">
      <c r="E93" t="s">
        <v>88</v>
      </c>
      <c r="F93" s="10">
        <f>1455930*76.23</f>
        <v>110985543.90000001</v>
      </c>
      <c r="G93" s="10">
        <f>G86*76.39</f>
        <v>158798156.97999999</v>
      </c>
      <c r="H93" s="10">
        <f>H86*71.05</f>
        <v>193137133.34999999</v>
      </c>
      <c r="I93" s="10">
        <f>I86*84.88</f>
        <v>184922199.28</v>
      </c>
      <c r="J93" s="20">
        <f>J90</f>
        <v>186527848.97</v>
      </c>
      <c r="K93" s="10"/>
      <c r="L93" s="22"/>
      <c r="M93" s="9"/>
      <c r="N93" s="9"/>
      <c r="O93" s="10"/>
      <c r="P93" s="31"/>
      <c r="Q93" s="9"/>
      <c r="R93" s="9">
        <f>R90</f>
        <v>181268216.80000001</v>
      </c>
      <c r="S93" s="10">
        <f>SUM(F93:R93)</f>
        <v>1015639099.28</v>
      </c>
      <c r="V93" s="8"/>
    </row>
    <row r="94" spans="3:26" x14ac:dyDescent="0.25">
      <c r="E94" s="88" t="s">
        <v>55</v>
      </c>
      <c r="F94" s="89">
        <f t="shared" ref="F94:R94" si="8">SUM(F92:F93)</f>
        <v>124198675.52000001</v>
      </c>
      <c r="G94" s="90">
        <f t="shared" si="8"/>
        <v>173050022.37</v>
      </c>
      <c r="H94" s="90">
        <f t="shared" si="8"/>
        <v>210562961.85023379</v>
      </c>
      <c r="I94" s="23">
        <f>SUM(I92:I93)</f>
        <v>204921390.67993432</v>
      </c>
      <c r="J94" s="83">
        <f t="shared" si="8"/>
        <v>203083815.7000317</v>
      </c>
      <c r="K94" s="83">
        <f t="shared" si="8"/>
        <v>0</v>
      </c>
      <c r="L94" s="83">
        <f t="shared" si="8"/>
        <v>0</v>
      </c>
      <c r="M94" s="83">
        <f t="shared" si="8"/>
        <v>0</v>
      </c>
      <c r="N94" s="83">
        <f t="shared" si="8"/>
        <v>0</v>
      </c>
      <c r="O94" s="83">
        <f t="shared" si="8"/>
        <v>0</v>
      </c>
      <c r="P94" s="83">
        <f t="shared" si="8"/>
        <v>0</v>
      </c>
      <c r="Q94" s="83">
        <f t="shared" si="8"/>
        <v>0</v>
      </c>
      <c r="R94" s="83">
        <f t="shared" si="8"/>
        <v>196174886.679874</v>
      </c>
      <c r="S94" s="23">
        <f>SUM(F94:R94)</f>
        <v>1111991752.8000739</v>
      </c>
      <c r="V94" s="24"/>
      <c r="W94" s="9"/>
    </row>
    <row r="95" spans="3:26" x14ac:dyDescent="0.25">
      <c r="J95" s="13"/>
      <c r="L95" s="10"/>
      <c r="M95" s="9"/>
      <c r="O95" s="8">
        <f>+'[1]RELACION COCIDA 2022'!$N$73</f>
        <v>0</v>
      </c>
    </row>
    <row r="96" spans="3:26" x14ac:dyDescent="0.25">
      <c r="J96" s="8"/>
      <c r="O96" s="8"/>
      <c r="Q96" s="8"/>
      <c r="R96" s="8"/>
      <c r="S96" s="86">
        <f>15822056.4+4177135</f>
        <v>19999191.399999999</v>
      </c>
      <c r="W96" t="s">
        <v>83</v>
      </c>
      <c r="Z96" s="6" t="s">
        <v>77</v>
      </c>
    </row>
    <row r="97" spans="10:27" x14ac:dyDescent="0.25">
      <c r="J97" s="17"/>
      <c r="M97" s="8"/>
      <c r="N97" s="8"/>
      <c r="O97" s="4"/>
      <c r="P97" s="8"/>
      <c r="Q97" s="10"/>
      <c r="R97" s="10"/>
      <c r="W97" s="67">
        <v>3028765</v>
      </c>
      <c r="Y97" s="4"/>
      <c r="Z97" s="11" t="e">
        <f>+#REF!/13</f>
        <v>#REF!</v>
      </c>
      <c r="AA97" t="s">
        <v>76</v>
      </c>
    </row>
    <row r="98" spans="10:27" x14ac:dyDescent="0.25">
      <c r="J98" s="17"/>
      <c r="Q98" s="10"/>
      <c r="R98" s="10"/>
      <c r="U98" s="8"/>
      <c r="V98" s="10"/>
      <c r="W98" s="11" t="e">
        <f>+Z106</f>
        <v>#REF!</v>
      </c>
      <c r="Y98" t="s">
        <v>79</v>
      </c>
      <c r="Z98" s="11">
        <f>90000+30000</f>
        <v>120000</v>
      </c>
      <c r="AA98" t="s">
        <v>78</v>
      </c>
    </row>
    <row r="99" spans="10:27" x14ac:dyDescent="0.25">
      <c r="J99" s="17"/>
      <c r="K99" s="8"/>
      <c r="W99" s="8"/>
      <c r="Y99" t="s">
        <v>80</v>
      </c>
      <c r="Z99" s="11">
        <v>1270</v>
      </c>
    </row>
    <row r="100" spans="10:27" ht="15.75" thickBot="1" x14ac:dyDescent="0.3">
      <c r="J100" s="24"/>
      <c r="W100" s="8"/>
      <c r="Y100" t="s">
        <v>81</v>
      </c>
      <c r="Z100" s="11">
        <v>785.66666666666663</v>
      </c>
    </row>
    <row r="101" spans="10:27" x14ac:dyDescent="0.25">
      <c r="J101" s="17"/>
      <c r="K101" s="68" t="s">
        <v>84</v>
      </c>
      <c r="L101" s="69"/>
      <c r="M101" s="70"/>
      <c r="N101" s="69"/>
      <c r="O101" s="70"/>
      <c r="P101" s="69"/>
      <c r="Q101" s="70"/>
      <c r="R101" s="95"/>
      <c r="Y101" t="s">
        <v>82</v>
      </c>
      <c r="Z101" s="11">
        <f>350000/3</f>
        <v>116666.66666666667</v>
      </c>
    </row>
    <row r="102" spans="10:27" x14ac:dyDescent="0.25">
      <c r="J102" s="17"/>
      <c r="K102" s="71"/>
      <c r="L102" s="72" t="e">
        <f>+L89</f>
        <v>#DIV/0!</v>
      </c>
      <c r="M102" s="73" t="e">
        <f>+M89</f>
        <v>#DIV/0!</v>
      </c>
      <c r="N102" s="73">
        <f>+N89</f>
        <v>50.18</v>
      </c>
      <c r="O102" s="73" t="e">
        <f>+O89</f>
        <v>#DIV/0!</v>
      </c>
      <c r="P102" s="74" t="e">
        <f>+P89</f>
        <v>#DIV/0!</v>
      </c>
      <c r="Q102" s="75">
        <v>77.459999999999994</v>
      </c>
      <c r="R102" s="75"/>
      <c r="Z102" s="66" t="e">
        <f>SUM(Z97:Z101)</f>
        <v>#REF!</v>
      </c>
    </row>
    <row r="103" spans="10:27" ht="15.75" thickBot="1" x14ac:dyDescent="0.3">
      <c r="J103" s="17"/>
      <c r="K103" s="76"/>
      <c r="L103" s="77" t="e">
        <f t="shared" ref="L103:Q103" si="9">+L101*L102</f>
        <v>#DIV/0!</v>
      </c>
      <c r="M103" s="77" t="e">
        <f t="shared" si="9"/>
        <v>#DIV/0!</v>
      </c>
      <c r="N103" s="77">
        <f t="shared" si="9"/>
        <v>0</v>
      </c>
      <c r="O103" s="77" t="e">
        <f t="shared" si="9"/>
        <v>#DIV/0!</v>
      </c>
      <c r="P103" s="77" t="e">
        <f t="shared" si="9"/>
        <v>#DIV/0!</v>
      </c>
      <c r="Q103" s="77">
        <f t="shared" si="9"/>
        <v>0</v>
      </c>
      <c r="R103" s="96"/>
      <c r="W103" s="11">
        <v>3191205</v>
      </c>
      <c r="Z103" s="9">
        <v>152560</v>
      </c>
    </row>
    <row r="104" spans="10:27" ht="15.75" thickBot="1" x14ac:dyDescent="0.3">
      <c r="J104" s="17"/>
      <c r="K104" s="78"/>
      <c r="L104" s="78"/>
      <c r="M104" s="78"/>
      <c r="N104" s="78"/>
      <c r="O104" s="78"/>
      <c r="P104" s="78"/>
      <c r="Q104" s="78"/>
      <c r="R104" s="78"/>
      <c r="Z104" s="9">
        <v>191651</v>
      </c>
    </row>
    <row r="105" spans="10:27" x14ac:dyDescent="0.25">
      <c r="J105" s="17"/>
      <c r="K105" s="78"/>
      <c r="L105" s="78"/>
      <c r="M105" s="78"/>
      <c r="N105" s="78"/>
      <c r="O105" s="68" t="s">
        <v>70</v>
      </c>
      <c r="P105" s="69">
        <v>16461</v>
      </c>
      <c r="Q105" s="70">
        <v>27224</v>
      </c>
      <c r="R105" s="95"/>
      <c r="Z105" s="9">
        <v>285552</v>
      </c>
    </row>
    <row r="106" spans="10:27" x14ac:dyDescent="0.25">
      <c r="J106" s="17"/>
      <c r="K106" s="79"/>
      <c r="L106" s="78"/>
      <c r="M106" s="78"/>
      <c r="N106" s="78"/>
      <c r="O106" s="71"/>
      <c r="P106" s="74">
        <v>77.930000000000007</v>
      </c>
      <c r="Q106" s="75">
        <v>77.459999999999994</v>
      </c>
      <c r="R106" s="75"/>
      <c r="Z106" s="32" t="e">
        <f>SUM(Z102:Z105)</f>
        <v>#REF!</v>
      </c>
    </row>
    <row r="107" spans="10:27" ht="15.75" thickBot="1" x14ac:dyDescent="0.3">
      <c r="J107" s="17"/>
      <c r="K107" s="78"/>
      <c r="L107" s="78"/>
      <c r="M107" s="78"/>
      <c r="N107" s="78"/>
      <c r="O107" s="76"/>
      <c r="P107" s="80">
        <f>+P105*P106</f>
        <v>1282805.7300000002</v>
      </c>
      <c r="Q107" s="80">
        <f>+Q105*Q106</f>
        <v>2108771.04</v>
      </c>
      <c r="R107" s="97"/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BENEFICIARIO PR.TRIMESTRE (2)</vt:lpstr>
      <vt:lpstr>PRODUCCION ABRIL 2023</vt:lpstr>
      <vt:lpstr>PRODUCCION 2023</vt:lpstr>
      <vt:lpstr>BENEFICIARIO PR.TRIMESTRE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Planificacion 6</cp:lastModifiedBy>
  <cp:lastPrinted>2023-05-16T17:53:12Z</cp:lastPrinted>
  <dcterms:created xsi:type="dcterms:W3CDTF">2022-06-07T13:05:07Z</dcterms:created>
  <dcterms:modified xsi:type="dcterms:W3CDTF">2023-07-11T16:56:35Z</dcterms:modified>
</cp:coreProperties>
</file>