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"/>
    </mc:Choice>
  </mc:AlternateContent>
  <bookViews>
    <workbookView xWindow="0" yWindow="0" windowWidth="24000" windowHeight="9735" tabRatio="602" activeTab="3"/>
  </bookViews>
  <sheets>
    <sheet name="COCIDA 2020" sheetId="5" r:id="rId1"/>
    <sheet name="COCIDA 2021" sheetId="13" r:id="rId2"/>
    <sheet name="COCIDA 2022" sheetId="24" r:id="rId3"/>
    <sheet name="COCIDAS 2023 " sheetId="21" r:id="rId4"/>
    <sheet name="CRUDAS " sheetId="16" r:id="rId5"/>
    <sheet name="Comedores Nuevo" sheetId="23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8" i="21" l="1"/>
  <c r="P101" i="21" l="1"/>
  <c r="Q101" i="21"/>
  <c r="O101" i="21"/>
  <c r="P100" i="21"/>
  <c r="P98" i="21"/>
  <c r="O98" i="21"/>
  <c r="P6" i="21"/>
  <c r="P5" i="21"/>
  <c r="P102" i="21"/>
  <c r="Q102" i="21" s="1"/>
  <c r="P94" i="21"/>
  <c r="Q94" i="21" s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7" i="21"/>
  <c r="Q6" i="21"/>
  <c r="Q5" i="21"/>
  <c r="Q98" i="21" l="1"/>
  <c r="P96" i="21"/>
  <c r="Q96" i="21" s="1"/>
  <c r="O100" i="21"/>
  <c r="D68" i="21"/>
  <c r="T7" i="21"/>
  <c r="O94" i="21"/>
  <c r="O102" i="21" s="1"/>
  <c r="M6" i="21"/>
  <c r="O6" i="21"/>
  <c r="O96" i="21" l="1"/>
  <c r="S13" i="21"/>
  <c r="S19" i="21"/>
  <c r="S20" i="21"/>
  <c r="S23" i="21"/>
  <c r="S28" i="21"/>
  <c r="S38" i="21"/>
  <c r="S43" i="21"/>
  <c r="S50" i="21"/>
  <c r="S57" i="21"/>
  <c r="S60" i="21"/>
  <c r="S62" i="21"/>
  <c r="S70" i="21"/>
  <c r="S76" i="21"/>
  <c r="S81" i="21"/>
  <c r="S89" i="21"/>
  <c r="S90" i="21"/>
  <c r="D23" i="21" l="1"/>
  <c r="N100" i="21" l="1"/>
  <c r="N94" i="21"/>
  <c r="N98" i="21" s="1"/>
  <c r="N5" i="21"/>
  <c r="N6" i="21" s="1"/>
  <c r="D60" i="21" l="1"/>
  <c r="N96" i="21"/>
  <c r="N101" i="21"/>
  <c r="N102" i="21" l="1"/>
  <c r="R98" i="21"/>
  <c r="M100" i="21" l="1"/>
  <c r="D90" i="21"/>
  <c r="R94" i="21"/>
  <c r="D89" i="21"/>
  <c r="D76" i="21"/>
  <c r="L5" i="21" l="1"/>
  <c r="L6" i="21" s="1"/>
  <c r="L97" i="21"/>
  <c r="L101" i="21"/>
  <c r="L100" i="21"/>
  <c r="L94" i="21"/>
  <c r="Q100" i="21" l="1"/>
  <c r="R100" i="21"/>
  <c r="L98" i="21"/>
  <c r="D57" i="21"/>
  <c r="L96" i="21"/>
  <c r="E57" i="24"/>
  <c r="E56" i="24"/>
  <c r="E58" i="24"/>
  <c r="E59" i="24"/>
  <c r="E60" i="24"/>
  <c r="E61" i="24"/>
  <c r="E62" i="24"/>
  <c r="E63" i="24"/>
  <c r="E64" i="24"/>
  <c r="E65" i="24"/>
  <c r="E54" i="24"/>
  <c r="E55" i="24"/>
  <c r="E46" i="24"/>
  <c r="E47" i="24"/>
  <c r="E48" i="24"/>
  <c r="E49" i="24"/>
  <c r="E50" i="24"/>
  <c r="E51" i="24"/>
  <c r="E52" i="24"/>
  <c r="E53" i="24"/>
  <c r="E45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7" i="24"/>
  <c r="F80" i="24"/>
  <c r="R70" i="24"/>
  <c r="E66" i="24" l="1"/>
  <c r="E82" i="24" l="1"/>
  <c r="E79" i="24"/>
  <c r="D82" i="24"/>
  <c r="D80" i="24"/>
  <c r="D79" i="24"/>
  <c r="Q63" i="24" l="1"/>
  <c r="Q41" i="24"/>
  <c r="R23" i="24" l="1"/>
  <c r="D23" i="24" s="1"/>
  <c r="Q49" i="24"/>
  <c r="Q31" i="24" l="1"/>
  <c r="X66" i="24"/>
  <c r="Q7" i="24"/>
  <c r="Q8" i="24"/>
  <c r="Q9" i="24"/>
  <c r="Q17" i="24"/>
  <c r="Q18" i="24"/>
  <c r="Q24" i="24"/>
  <c r="Q60" i="24"/>
  <c r="Q64" i="24"/>
  <c r="Q65" i="24"/>
  <c r="P9" i="24"/>
  <c r="Q28" i="24"/>
  <c r="Q30" i="24"/>
  <c r="R30" i="24" s="1"/>
  <c r="D30" i="24" s="1"/>
  <c r="Q29" i="24"/>
  <c r="Q35" i="24"/>
  <c r="Q26" i="24"/>
  <c r="Q25" i="24"/>
  <c r="Q12" i="24"/>
  <c r="Q21" i="24"/>
  <c r="Q22" i="24"/>
  <c r="Q36" i="24"/>
  <c r="Q42" i="24"/>
  <c r="Q55" i="24"/>
  <c r="R55" i="24" s="1"/>
  <c r="D55" i="24" s="1"/>
  <c r="Q14" i="24"/>
  <c r="Q20" i="24"/>
  <c r="Q56" i="24"/>
  <c r="Q58" i="24"/>
  <c r="Q53" i="24"/>
  <c r="Q50" i="24"/>
  <c r="Q52" i="24"/>
  <c r="Q62" i="24"/>
  <c r="Q13" i="24" l="1"/>
  <c r="Q11" i="24"/>
  <c r="Q10" i="24"/>
  <c r="T5" i="24"/>
  <c r="U5" i="24" s="1"/>
  <c r="U6" i="24" s="1"/>
  <c r="U65" i="24"/>
  <c r="U64" i="24"/>
  <c r="U63" i="24"/>
  <c r="U62" i="24"/>
  <c r="U61" i="24"/>
  <c r="U60" i="24"/>
  <c r="U59" i="24"/>
  <c r="U58" i="24"/>
  <c r="U57" i="24"/>
  <c r="U56" i="24"/>
  <c r="U55" i="24"/>
  <c r="U54" i="24"/>
  <c r="U53" i="24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7" i="24" l="1"/>
  <c r="U69" i="24" l="1"/>
  <c r="U71" i="24"/>
  <c r="N76" i="24" l="1"/>
  <c r="P73" i="24"/>
  <c r="P75" i="24" s="1"/>
  <c r="O73" i="24"/>
  <c r="O75" i="24" s="1"/>
  <c r="N73" i="24"/>
  <c r="N75" i="24" s="1"/>
  <c r="M73" i="24"/>
  <c r="M75" i="24" s="1"/>
  <c r="L73" i="24"/>
  <c r="L75" i="24" s="1"/>
  <c r="K73" i="24"/>
  <c r="K75" i="24" s="1"/>
  <c r="J73" i="24"/>
  <c r="J75" i="24" s="1"/>
  <c r="I73" i="24"/>
  <c r="I75" i="24" s="1"/>
  <c r="H73" i="24"/>
  <c r="H75" i="24" s="1"/>
  <c r="G73" i="24"/>
  <c r="G75" i="24" s="1"/>
  <c r="F73" i="24"/>
  <c r="X72" i="24"/>
  <c r="X73" i="24" s="1"/>
  <c r="T67" i="24"/>
  <c r="P67" i="24"/>
  <c r="O67" i="24"/>
  <c r="N67" i="24"/>
  <c r="M67" i="24"/>
  <c r="M69" i="24" s="1"/>
  <c r="H67" i="24"/>
  <c r="H69" i="24" s="1"/>
  <c r="H70" i="24" s="1"/>
  <c r="G67" i="24"/>
  <c r="G69" i="24" s="1"/>
  <c r="G70" i="24" s="1"/>
  <c r="F67" i="24"/>
  <c r="F69" i="24" s="1"/>
  <c r="F70" i="24" s="1"/>
  <c r="L65" i="24"/>
  <c r="K65" i="24"/>
  <c r="R65" i="24" s="1"/>
  <c r="D65" i="24" s="1"/>
  <c r="L64" i="24"/>
  <c r="K64" i="24"/>
  <c r="R64" i="24" s="1"/>
  <c r="D64" i="24" s="1"/>
  <c r="L63" i="24"/>
  <c r="K63" i="24"/>
  <c r="R63" i="24" s="1"/>
  <c r="D63" i="24" s="1"/>
  <c r="L62" i="24"/>
  <c r="K62" i="24"/>
  <c r="R62" i="24" s="1"/>
  <c r="D62" i="24" s="1"/>
  <c r="Q61" i="24"/>
  <c r="L61" i="24"/>
  <c r="K61" i="24"/>
  <c r="R61" i="24" s="1"/>
  <c r="D61" i="24" s="1"/>
  <c r="L60" i="24"/>
  <c r="K60" i="24"/>
  <c r="R60" i="24" s="1"/>
  <c r="D60" i="24" s="1"/>
  <c r="Q59" i="24"/>
  <c r="L59" i="24"/>
  <c r="K59" i="24"/>
  <c r="I59" i="24"/>
  <c r="R59" i="24" s="1"/>
  <c r="D59" i="24" s="1"/>
  <c r="L58" i="24"/>
  <c r="K58" i="24"/>
  <c r="R58" i="24" s="1"/>
  <c r="D58" i="24" s="1"/>
  <c r="Q57" i="24"/>
  <c r="L57" i="24"/>
  <c r="K57" i="24"/>
  <c r="L56" i="24"/>
  <c r="K56" i="24"/>
  <c r="R56" i="24" s="1"/>
  <c r="D56" i="24" s="1"/>
  <c r="Q54" i="24"/>
  <c r="L54" i="24"/>
  <c r="K54" i="24"/>
  <c r="R54" i="24" s="1"/>
  <c r="D54" i="24" s="1"/>
  <c r="L53" i="24"/>
  <c r="K53" i="24"/>
  <c r="R53" i="24" s="1"/>
  <c r="D53" i="24" s="1"/>
  <c r="L52" i="24"/>
  <c r="K52" i="24"/>
  <c r="R52" i="24" s="1"/>
  <c r="D52" i="24" s="1"/>
  <c r="Q51" i="24"/>
  <c r="L51" i="24"/>
  <c r="K51" i="24"/>
  <c r="R51" i="24" s="1"/>
  <c r="D51" i="24" s="1"/>
  <c r="L50" i="24"/>
  <c r="K50" i="24"/>
  <c r="R50" i="24" s="1"/>
  <c r="D50" i="24" s="1"/>
  <c r="L49" i="24"/>
  <c r="K49" i="24"/>
  <c r="R49" i="24" s="1"/>
  <c r="D49" i="24" s="1"/>
  <c r="Q48" i="24"/>
  <c r="L48" i="24"/>
  <c r="K48" i="24"/>
  <c r="Q47" i="24"/>
  <c r="L47" i="24"/>
  <c r="K47" i="24"/>
  <c r="R47" i="24" s="1"/>
  <c r="D47" i="24" s="1"/>
  <c r="Q46" i="24"/>
  <c r="L46" i="24"/>
  <c r="K46" i="24"/>
  <c r="R46" i="24" s="1"/>
  <c r="D46" i="24" s="1"/>
  <c r="Q45" i="24"/>
  <c r="L45" i="24"/>
  <c r="K45" i="24"/>
  <c r="R45" i="24" s="1"/>
  <c r="D45" i="24" s="1"/>
  <c r="Q44" i="24"/>
  <c r="L44" i="24"/>
  <c r="K44" i="24"/>
  <c r="R44" i="24" s="1"/>
  <c r="D44" i="24" s="1"/>
  <c r="Q43" i="24"/>
  <c r="L43" i="24"/>
  <c r="K43" i="24"/>
  <c r="R43" i="24" s="1"/>
  <c r="D43" i="24" s="1"/>
  <c r="L42" i="24"/>
  <c r="K42" i="24"/>
  <c r="R42" i="24" s="1"/>
  <c r="D42" i="24" s="1"/>
  <c r="L41" i="24"/>
  <c r="K41" i="24"/>
  <c r="Q40" i="24"/>
  <c r="L40" i="24"/>
  <c r="K40" i="24"/>
  <c r="R40" i="24" s="1"/>
  <c r="D40" i="24" s="1"/>
  <c r="Q39" i="24"/>
  <c r="L39" i="24"/>
  <c r="K39" i="24"/>
  <c r="R39" i="24" s="1"/>
  <c r="D39" i="24" s="1"/>
  <c r="Q38" i="24"/>
  <c r="L38" i="24"/>
  <c r="K38" i="24"/>
  <c r="R38" i="24" s="1"/>
  <c r="D38" i="24" s="1"/>
  <c r="Q37" i="24"/>
  <c r="R37" i="24" s="1"/>
  <c r="D37" i="24" s="1"/>
  <c r="L36" i="24"/>
  <c r="K36" i="24"/>
  <c r="I36" i="24"/>
  <c r="R36" i="24" s="1"/>
  <c r="D36" i="24" s="1"/>
  <c r="L35" i="24"/>
  <c r="K35" i="24"/>
  <c r="R35" i="24" s="1"/>
  <c r="D35" i="24" s="1"/>
  <c r="Q34" i="24"/>
  <c r="L34" i="24"/>
  <c r="K34" i="24"/>
  <c r="R34" i="24" s="1"/>
  <c r="D34" i="24" s="1"/>
  <c r="Q33" i="24"/>
  <c r="L33" i="24"/>
  <c r="K33" i="24"/>
  <c r="Q32" i="24"/>
  <c r="R32" i="24" s="1"/>
  <c r="D32" i="24" s="1"/>
  <c r="L31" i="24"/>
  <c r="K31" i="24"/>
  <c r="I31" i="24"/>
  <c r="L29" i="24"/>
  <c r="K29" i="24"/>
  <c r="I29" i="24"/>
  <c r="R29" i="24" s="1"/>
  <c r="D29" i="24" s="1"/>
  <c r="L28" i="24"/>
  <c r="K28" i="24"/>
  <c r="I28" i="24"/>
  <c r="R28" i="24" s="1"/>
  <c r="D28" i="24" s="1"/>
  <c r="Q27" i="24"/>
  <c r="R27" i="24" s="1"/>
  <c r="D27" i="24" s="1"/>
  <c r="L26" i="24"/>
  <c r="K26" i="24"/>
  <c r="R26" i="24" s="1"/>
  <c r="D26" i="24" s="1"/>
  <c r="L25" i="24"/>
  <c r="K25" i="24"/>
  <c r="R25" i="24" s="1"/>
  <c r="D25" i="24" s="1"/>
  <c r="L24" i="24"/>
  <c r="K24" i="24"/>
  <c r="R24" i="24" s="1"/>
  <c r="D24" i="24" s="1"/>
  <c r="L22" i="24"/>
  <c r="K22" i="24"/>
  <c r="L21" i="24"/>
  <c r="K21" i="24"/>
  <c r="R21" i="24" s="1"/>
  <c r="D21" i="24" s="1"/>
  <c r="L20" i="24"/>
  <c r="K20" i="24"/>
  <c r="R20" i="24" s="1"/>
  <c r="D20" i="24" s="1"/>
  <c r="Q19" i="24"/>
  <c r="L19" i="24"/>
  <c r="K19" i="24"/>
  <c r="L18" i="24"/>
  <c r="K18" i="24"/>
  <c r="R18" i="24" s="1"/>
  <c r="D18" i="24" s="1"/>
  <c r="L17" i="24"/>
  <c r="K17" i="24"/>
  <c r="R17" i="24" s="1"/>
  <c r="D17" i="24" s="1"/>
  <c r="Q16" i="24"/>
  <c r="R16" i="24" s="1"/>
  <c r="D16" i="24" s="1"/>
  <c r="Q15" i="24"/>
  <c r="L15" i="24"/>
  <c r="R15" i="24" s="1"/>
  <c r="D15" i="24" s="1"/>
  <c r="L14" i="24"/>
  <c r="K14" i="24"/>
  <c r="I14" i="24"/>
  <c r="R14" i="24" s="1"/>
  <c r="D14" i="24" s="1"/>
  <c r="L13" i="24"/>
  <c r="K13" i="24"/>
  <c r="J13" i="24"/>
  <c r="L12" i="24"/>
  <c r="K12" i="24"/>
  <c r="J12" i="24"/>
  <c r="I12" i="24"/>
  <c r="R12" i="24" s="1"/>
  <c r="D12" i="24" s="1"/>
  <c r="L11" i="24"/>
  <c r="K11" i="24"/>
  <c r="J11" i="24"/>
  <c r="R11" i="24" s="1"/>
  <c r="D11" i="24" s="1"/>
  <c r="L10" i="24"/>
  <c r="K10" i="24"/>
  <c r="I10" i="24"/>
  <c r="R10" i="24" s="1"/>
  <c r="D10" i="24" s="1"/>
  <c r="L9" i="24"/>
  <c r="K9" i="24"/>
  <c r="J9" i="24"/>
  <c r="I9" i="24"/>
  <c r="R9" i="24" s="1"/>
  <c r="D9" i="24" s="1"/>
  <c r="L8" i="24"/>
  <c r="K8" i="24"/>
  <c r="J8" i="24"/>
  <c r="I8" i="24"/>
  <c r="R8" i="24" s="1"/>
  <c r="D8" i="24" s="1"/>
  <c r="L7" i="24"/>
  <c r="K7" i="24"/>
  <c r="J7" i="24"/>
  <c r="I7" i="24"/>
  <c r="Q6" i="24"/>
  <c r="O6" i="24"/>
  <c r="H6" i="24"/>
  <c r="G6" i="24"/>
  <c r="F6" i="24"/>
  <c r="P5" i="24"/>
  <c r="P6" i="24" s="1"/>
  <c r="N5" i="24"/>
  <c r="N6" i="24" s="1"/>
  <c r="M5" i="24"/>
  <c r="L5" i="24"/>
  <c r="L6" i="24" s="1"/>
  <c r="K5" i="24"/>
  <c r="K6" i="24" s="1"/>
  <c r="J5" i="24"/>
  <c r="J6" i="24" s="1"/>
  <c r="I5" i="24"/>
  <c r="R5" i="24" s="1"/>
  <c r="R31" i="24" l="1"/>
  <c r="D31" i="24" s="1"/>
  <c r="R19" i="24"/>
  <c r="D19" i="24" s="1"/>
  <c r="R57" i="24"/>
  <c r="D57" i="24" s="1"/>
  <c r="N69" i="24"/>
  <c r="N70" i="24" s="1"/>
  <c r="R7" i="24"/>
  <c r="D7" i="24" s="1"/>
  <c r="R33" i="24"/>
  <c r="D33" i="24" s="1"/>
  <c r="R48" i="24"/>
  <c r="D48" i="24" s="1"/>
  <c r="R13" i="24"/>
  <c r="D13" i="24" s="1"/>
  <c r="R22" i="24"/>
  <c r="D22" i="24" s="1"/>
  <c r="R41" i="24"/>
  <c r="D41" i="24" s="1"/>
  <c r="P69" i="24"/>
  <c r="P70" i="24" s="1"/>
  <c r="O69" i="24"/>
  <c r="O70" i="24" s="1"/>
  <c r="F75" i="24"/>
  <c r="R73" i="24"/>
  <c r="I6" i="24"/>
  <c r="L67" i="24"/>
  <c r="L69" i="24" s="1"/>
  <c r="L70" i="24" s="1"/>
  <c r="J67" i="24"/>
  <c r="J69" i="24" s="1"/>
  <c r="J70" i="24" s="1"/>
  <c r="K67" i="24"/>
  <c r="K69" i="24" s="1"/>
  <c r="K70" i="24" s="1"/>
  <c r="Q67" i="24"/>
  <c r="D5" i="24"/>
  <c r="R6" i="24"/>
  <c r="I67" i="24"/>
  <c r="I69" i="24" s="1"/>
  <c r="I70" i="24" s="1"/>
  <c r="R67" i="24" l="1"/>
  <c r="Q74" i="24"/>
  <c r="R69" i="24"/>
  <c r="Q69" i="24"/>
  <c r="D66" i="24"/>
  <c r="D67" i="24" s="1"/>
  <c r="D68" i="24"/>
  <c r="Q75" i="24" l="1"/>
  <c r="Q71" i="24"/>
  <c r="R71" i="24" l="1"/>
  <c r="Q59" i="13" l="1"/>
  <c r="Q57" i="13"/>
  <c r="T55" i="13"/>
  <c r="S9" i="13"/>
  <c r="P9" i="13"/>
  <c r="N83" i="13" l="1"/>
  <c r="N82" i="13"/>
  <c r="N81" i="13"/>
  <c r="E65" i="13"/>
  <c r="C65" i="13"/>
  <c r="C55" i="13" l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9" i="13"/>
  <c r="E64" i="13" l="1"/>
  <c r="E63" i="13" l="1"/>
  <c r="E66" i="13" s="1"/>
  <c r="S36" i="13" l="1"/>
  <c r="P36" i="13"/>
  <c r="S14" i="13"/>
  <c r="P16" i="13"/>
  <c r="S27" i="13"/>
  <c r="S24" i="13"/>
  <c r="P24" i="13" s="1"/>
  <c r="S15" i="13"/>
  <c r="P15" i="13" s="1"/>
  <c r="S13" i="13"/>
  <c r="P13" i="13" s="1"/>
  <c r="S11" i="13"/>
  <c r="P11" i="13" s="1"/>
  <c r="S12" i="13"/>
  <c r="P12" i="13" s="1"/>
  <c r="S10" i="13"/>
  <c r="P10" i="13"/>
  <c r="S53" i="13"/>
  <c r="P53" i="13" s="1"/>
  <c r="Q53" i="13" s="1"/>
  <c r="S52" i="13"/>
  <c r="P52" i="13" s="1"/>
  <c r="S51" i="13"/>
  <c r="P51" i="13"/>
  <c r="S50" i="13"/>
  <c r="P50" i="13"/>
  <c r="S49" i="13"/>
  <c r="P49" i="13" s="1"/>
  <c r="S47" i="13"/>
  <c r="P47" i="13" s="1"/>
  <c r="S45" i="13"/>
  <c r="P45" i="13"/>
  <c r="S43" i="13"/>
  <c r="P43" i="13" s="1"/>
  <c r="S41" i="13"/>
  <c r="P41" i="13" s="1"/>
  <c r="S40" i="13"/>
  <c r="P40" i="13"/>
  <c r="S37" i="13"/>
  <c r="S39" i="13"/>
  <c r="P39" i="13" s="1"/>
  <c r="S38" i="13"/>
  <c r="P38" i="13" s="1"/>
  <c r="S34" i="13"/>
  <c r="S32" i="13"/>
  <c r="P32" i="13" s="1"/>
  <c r="S30" i="13"/>
  <c r="P30" i="13" s="1"/>
  <c r="Q30" i="13" s="1"/>
  <c r="S29" i="13"/>
  <c r="P29" i="13" s="1"/>
  <c r="S28" i="13"/>
  <c r="P28" i="13"/>
  <c r="S26" i="13"/>
  <c r="P26" i="13" s="1"/>
  <c r="S17" i="13"/>
  <c r="P17" i="13" s="1"/>
  <c r="S19" i="13"/>
  <c r="P19" i="13" s="1"/>
  <c r="S20" i="13"/>
  <c r="P20" i="13" s="1"/>
  <c r="P14" i="13"/>
  <c r="P18" i="13"/>
  <c r="P21" i="13"/>
  <c r="P22" i="13"/>
  <c r="P23" i="13"/>
  <c r="P25" i="13"/>
  <c r="P27" i="13"/>
  <c r="P31" i="13"/>
  <c r="P33" i="13"/>
  <c r="P34" i="13"/>
  <c r="P35" i="13"/>
  <c r="P37" i="13"/>
  <c r="P42" i="13"/>
  <c r="P44" i="13"/>
  <c r="P46" i="13"/>
  <c r="P48" i="13"/>
  <c r="P54" i="13"/>
  <c r="M89" i="13"/>
  <c r="U93" i="13"/>
  <c r="N71" i="13"/>
  <c r="P57" i="13" l="1"/>
  <c r="M90" i="13" l="1"/>
  <c r="M83" i="13"/>
  <c r="N90" i="13" l="1"/>
  <c r="N91" i="13" s="1"/>
  <c r="M91" i="13"/>
  <c r="M74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9" i="13"/>
  <c r="T6" i="21" l="1"/>
  <c r="D13" i="21"/>
  <c r="K100" i="21" l="1"/>
  <c r="K5" i="21"/>
  <c r="K6" i="21" l="1"/>
  <c r="E115" i="21"/>
  <c r="E113" i="21"/>
  <c r="D109" i="21"/>
  <c r="D108" i="21"/>
  <c r="D107" i="21"/>
  <c r="C72" i="5" l="1"/>
  <c r="C71" i="5"/>
  <c r="I5" i="21" l="1"/>
  <c r="I6" i="21" s="1"/>
  <c r="J5" i="21"/>
  <c r="J6" i="21" s="1"/>
  <c r="M103" i="21" l="1"/>
  <c r="L102" i="21"/>
  <c r="E101" i="21"/>
  <c r="J100" i="21"/>
  <c r="I100" i="21"/>
  <c r="H100" i="21"/>
  <c r="G100" i="21"/>
  <c r="F100" i="21"/>
  <c r="E100" i="21"/>
  <c r="J94" i="21"/>
  <c r="M94" i="21"/>
  <c r="M96" i="21" s="1"/>
  <c r="M98" i="21" s="1"/>
  <c r="K94" i="21"/>
  <c r="K98" i="21" s="1"/>
  <c r="I94" i="21"/>
  <c r="I98" i="21" s="1"/>
  <c r="I101" i="21" s="1"/>
  <c r="H94" i="21"/>
  <c r="H98" i="21" s="1"/>
  <c r="G94" i="21"/>
  <c r="F88" i="21"/>
  <c r="E88" i="21"/>
  <c r="F87" i="21"/>
  <c r="E87" i="21"/>
  <c r="F86" i="21"/>
  <c r="E86" i="21"/>
  <c r="F85" i="21"/>
  <c r="E85" i="21"/>
  <c r="F84" i="21"/>
  <c r="E84" i="21"/>
  <c r="F83" i="21"/>
  <c r="E83" i="21"/>
  <c r="F82" i="21"/>
  <c r="E82" i="21"/>
  <c r="D81" i="21"/>
  <c r="F80" i="21"/>
  <c r="E80" i="21"/>
  <c r="F79" i="21"/>
  <c r="E79" i="21"/>
  <c r="F78" i="21"/>
  <c r="E78" i="21"/>
  <c r="F77" i="21"/>
  <c r="E77" i="21"/>
  <c r="F75" i="21"/>
  <c r="E75" i="21"/>
  <c r="F74" i="21"/>
  <c r="S74" i="21" s="1"/>
  <c r="F73" i="21"/>
  <c r="E73" i="21"/>
  <c r="F72" i="21"/>
  <c r="E72" i="21"/>
  <c r="F71" i="21"/>
  <c r="E71" i="21"/>
  <c r="D70" i="21"/>
  <c r="F69" i="21"/>
  <c r="E69" i="21"/>
  <c r="F67" i="21"/>
  <c r="E67" i="21"/>
  <c r="F66" i="21"/>
  <c r="E66" i="21"/>
  <c r="F65" i="21"/>
  <c r="E65" i="21"/>
  <c r="F64" i="21"/>
  <c r="E64" i="21"/>
  <c r="F63" i="21"/>
  <c r="E63" i="21"/>
  <c r="D62" i="21"/>
  <c r="F61" i="21"/>
  <c r="E61" i="21"/>
  <c r="F59" i="21"/>
  <c r="E59" i="21"/>
  <c r="F58" i="21"/>
  <c r="E58" i="21"/>
  <c r="F56" i="21"/>
  <c r="E56" i="21"/>
  <c r="F55" i="21"/>
  <c r="E55" i="21"/>
  <c r="F54" i="21"/>
  <c r="E54" i="21"/>
  <c r="F53" i="21"/>
  <c r="E53" i="21"/>
  <c r="F52" i="21"/>
  <c r="S52" i="21" s="1"/>
  <c r="F51" i="21"/>
  <c r="E51" i="21"/>
  <c r="D50" i="21"/>
  <c r="F49" i="21"/>
  <c r="S49" i="21" s="1"/>
  <c r="F48" i="21"/>
  <c r="S48" i="21" s="1"/>
  <c r="F47" i="21"/>
  <c r="S47" i="21" s="1"/>
  <c r="F46" i="21"/>
  <c r="S46" i="21" s="1"/>
  <c r="F45" i="21"/>
  <c r="E45" i="21"/>
  <c r="F44" i="21"/>
  <c r="E44" i="21"/>
  <c r="D43" i="21"/>
  <c r="F42" i="21"/>
  <c r="E42" i="21"/>
  <c r="F41" i="21"/>
  <c r="E41" i="21"/>
  <c r="F40" i="21"/>
  <c r="S40" i="21" s="1"/>
  <c r="F39" i="21"/>
  <c r="E39" i="21"/>
  <c r="D38" i="21"/>
  <c r="F37" i="21"/>
  <c r="E37" i="21"/>
  <c r="F36" i="21"/>
  <c r="S36" i="21" s="1"/>
  <c r="F35" i="21"/>
  <c r="E35" i="21"/>
  <c r="F34" i="21"/>
  <c r="E34" i="21"/>
  <c r="F33" i="21"/>
  <c r="S33" i="21" s="1"/>
  <c r="F32" i="21"/>
  <c r="E32" i="21"/>
  <c r="F31" i="21"/>
  <c r="E31" i="21"/>
  <c r="F30" i="21"/>
  <c r="E30" i="21"/>
  <c r="F29" i="21"/>
  <c r="E29" i="21"/>
  <c r="D28" i="21"/>
  <c r="F27" i="21"/>
  <c r="E27" i="21"/>
  <c r="F26" i="21"/>
  <c r="S26" i="21" s="1"/>
  <c r="E26" i="21"/>
  <c r="F25" i="21"/>
  <c r="E25" i="21"/>
  <c r="F24" i="21"/>
  <c r="S24" i="21" s="1"/>
  <c r="E24" i="21"/>
  <c r="F22" i="21"/>
  <c r="E22" i="21"/>
  <c r="F21" i="21"/>
  <c r="S21" i="21" s="1"/>
  <c r="E21" i="21"/>
  <c r="D20" i="21"/>
  <c r="D19" i="21"/>
  <c r="F18" i="21"/>
  <c r="S18" i="21" s="1"/>
  <c r="F17" i="21"/>
  <c r="E17" i="21"/>
  <c r="F16" i="21"/>
  <c r="S16" i="21" s="1"/>
  <c r="F15" i="21"/>
  <c r="S15" i="21" s="1"/>
  <c r="E15" i="21"/>
  <c r="F14" i="21"/>
  <c r="E14" i="21"/>
  <c r="F12" i="21"/>
  <c r="S12" i="21" s="1"/>
  <c r="E12" i="21"/>
  <c r="F11" i="21"/>
  <c r="E11" i="21"/>
  <c r="F10" i="21"/>
  <c r="S10" i="21" s="1"/>
  <c r="E10" i="21"/>
  <c r="F9" i="21"/>
  <c r="E9" i="21"/>
  <c r="F8" i="21"/>
  <c r="S8" i="21" s="1"/>
  <c r="E8" i="21"/>
  <c r="F7" i="21"/>
  <c r="E7" i="21"/>
  <c r="H5" i="21"/>
  <c r="H6" i="21" s="1"/>
  <c r="G5" i="21"/>
  <c r="F5" i="21"/>
  <c r="F6" i="21" s="1"/>
  <c r="E5" i="21"/>
  <c r="E6" i="21" s="1"/>
  <c r="S9" i="21" l="1"/>
  <c r="S11" i="21"/>
  <c r="S14" i="21"/>
  <c r="S22" i="21"/>
  <c r="S25" i="21"/>
  <c r="S27" i="21"/>
  <c r="S34" i="21"/>
  <c r="S39" i="21"/>
  <c r="S44" i="21"/>
  <c r="S53" i="21"/>
  <c r="S55" i="21"/>
  <c r="S58" i="21"/>
  <c r="S61" i="21"/>
  <c r="S71" i="21"/>
  <c r="G96" i="21"/>
  <c r="S73" i="21"/>
  <c r="S83" i="21"/>
  <c r="S85" i="21"/>
  <c r="S87" i="21"/>
  <c r="S35" i="21"/>
  <c r="S45" i="21"/>
  <c r="S17" i="21"/>
  <c r="S30" i="21"/>
  <c r="S32" i="21"/>
  <c r="S37" i="21"/>
  <c r="S42" i="21"/>
  <c r="S51" i="21"/>
  <c r="S64" i="21"/>
  <c r="S66" i="21"/>
  <c r="S69" i="21"/>
  <c r="S77" i="21"/>
  <c r="S79" i="21"/>
  <c r="S54" i="21"/>
  <c r="S56" i="21"/>
  <c r="S59" i="21"/>
  <c r="S72" i="21"/>
  <c r="S82" i="21"/>
  <c r="S84" i="21"/>
  <c r="S86" i="21"/>
  <c r="S88" i="21"/>
  <c r="S29" i="21"/>
  <c r="S31" i="21"/>
  <c r="S41" i="21"/>
  <c r="S63" i="21"/>
  <c r="S65" i="21"/>
  <c r="S67" i="21"/>
  <c r="S75" i="21"/>
  <c r="S78" i="21"/>
  <c r="S80" i="21"/>
  <c r="D5" i="21"/>
  <c r="M101" i="21"/>
  <c r="G101" i="21"/>
  <c r="G102" i="21" s="1"/>
  <c r="G2" i="21"/>
  <c r="D74" i="21"/>
  <c r="E102" i="21"/>
  <c r="S7" i="21"/>
  <c r="K96" i="21"/>
  <c r="K101" i="21"/>
  <c r="K102" i="21" s="1"/>
  <c r="H96" i="21"/>
  <c r="H97" i="21" s="1"/>
  <c r="I96" i="21"/>
  <c r="G98" i="21"/>
  <c r="H101" i="21"/>
  <c r="H102" i="21" s="1"/>
  <c r="I102" i="21"/>
  <c r="E94" i="21"/>
  <c r="F94" i="21"/>
  <c r="G6" i="21"/>
  <c r="J98" i="21"/>
  <c r="J101" i="21" s="1"/>
  <c r="J102" i="21" s="1"/>
  <c r="S6" i="21" l="1"/>
  <c r="S94" i="21" s="1"/>
  <c r="D75" i="21"/>
  <c r="M102" i="21"/>
  <c r="R97" i="21"/>
  <c r="D9" i="21"/>
  <c r="D61" i="21"/>
  <c r="D84" i="21"/>
  <c r="D31" i="21"/>
  <c r="D82" i="21"/>
  <c r="D58" i="21"/>
  <c r="D85" i="21"/>
  <c r="D52" i="21"/>
  <c r="D64" i="21"/>
  <c r="D42" i="21"/>
  <c r="D35" i="21"/>
  <c r="D27" i="21"/>
  <c r="D66" i="21"/>
  <c r="D54" i="21"/>
  <c r="D80" i="21"/>
  <c r="D63" i="21"/>
  <c r="D41" i="21"/>
  <c r="D87" i="21"/>
  <c r="D83" i="21"/>
  <c r="D17" i="21"/>
  <c r="D78" i="21"/>
  <c r="D77" i="21"/>
  <c r="D10" i="21"/>
  <c r="D24" i="21"/>
  <c r="D53" i="21"/>
  <c r="D56" i="21"/>
  <c r="D46" i="21"/>
  <c r="D67" i="21"/>
  <c r="D29" i="21"/>
  <c r="D47" i="21"/>
  <c r="D45" i="21"/>
  <c r="D73" i="21"/>
  <c r="D44" i="21"/>
  <c r="D65" i="21"/>
  <c r="D69" i="21"/>
  <c r="D49" i="21"/>
  <c r="D34" i="21"/>
  <c r="D16" i="21"/>
  <c r="D40" i="21"/>
  <c r="D39" i="21"/>
  <c r="D14" i="21"/>
  <c r="D79" i="21"/>
  <c r="D59" i="21"/>
  <c r="D48" i="21"/>
  <c r="D8" i="21"/>
  <c r="D37" i="21"/>
  <c r="D71" i="21"/>
  <c r="D88" i="21"/>
  <c r="D30" i="21"/>
  <c r="D18" i="21"/>
  <c r="D11" i="21"/>
  <c r="D26" i="21"/>
  <c r="D36" i="21"/>
  <c r="D15" i="21"/>
  <c r="D86" i="21"/>
  <c r="D7" i="21"/>
  <c r="D22" i="21"/>
  <c r="D21" i="21"/>
  <c r="D12" i="21"/>
  <c r="D55" i="21"/>
  <c r="D51" i="21"/>
  <c r="E96" i="21"/>
  <c r="E98" i="21"/>
  <c r="D72" i="21"/>
  <c r="D32" i="21"/>
  <c r="D25" i="21"/>
  <c r="D33" i="21"/>
  <c r="F101" i="21"/>
  <c r="F98" i="21"/>
  <c r="F96" i="21"/>
  <c r="J96" i="21"/>
  <c r="R101" i="21" l="1"/>
  <c r="R102" i="21" s="1"/>
  <c r="D93" i="21"/>
  <c r="D94" i="21" s="1"/>
  <c r="D95" i="21"/>
  <c r="F102" i="21"/>
  <c r="E116" i="21" l="1"/>
  <c r="D110" i="21"/>
  <c r="D111" i="21" s="1"/>
  <c r="G106" i="21"/>
  <c r="F17" i="16"/>
  <c r="E17" i="16"/>
  <c r="D17" i="16"/>
  <c r="C17" i="16"/>
  <c r="H14" i="16"/>
  <c r="H17" i="16" s="1"/>
  <c r="G14" i="16"/>
  <c r="G17" i="16" s="1"/>
  <c r="C68" i="13"/>
  <c r="Q61" i="13"/>
  <c r="E114" i="21" s="1"/>
  <c r="E117" i="21" s="1"/>
  <c r="I57" i="13"/>
  <c r="H57" i="13"/>
  <c r="G57" i="13"/>
  <c r="F57" i="13"/>
  <c r="E57" i="13"/>
  <c r="O56" i="13"/>
  <c r="O57" i="13" s="1"/>
  <c r="N56" i="13"/>
  <c r="N57" i="13" s="1"/>
  <c r="M56" i="13"/>
  <c r="M57" i="13" s="1"/>
  <c r="L56" i="13"/>
  <c r="L57" i="13" s="1"/>
  <c r="K56" i="13"/>
  <c r="K57" i="13" s="1"/>
  <c r="J56" i="13"/>
  <c r="J57" i="13" s="1"/>
  <c r="I56" i="13"/>
  <c r="H56" i="13"/>
  <c r="G56" i="13"/>
  <c r="F56" i="13"/>
  <c r="E56" i="13"/>
  <c r="O54" i="13"/>
  <c r="P6" i="13"/>
  <c r="P59" i="13" s="1"/>
  <c r="H6" i="13"/>
  <c r="H59" i="13" s="1"/>
  <c r="G6" i="13"/>
  <c r="G59" i="13" s="1"/>
  <c r="F6" i="13"/>
  <c r="F59" i="13" s="1"/>
  <c r="E6" i="13"/>
  <c r="O3" i="13"/>
  <c r="O6" i="13" s="1"/>
  <c r="N3" i="13"/>
  <c r="N6" i="13" s="1"/>
  <c r="M3" i="13"/>
  <c r="M6" i="13" s="1"/>
  <c r="L3" i="13"/>
  <c r="L6" i="13" s="1"/>
  <c r="L59" i="13" s="1"/>
  <c r="K3" i="13"/>
  <c r="K6" i="13" s="1"/>
  <c r="J3" i="13"/>
  <c r="J6" i="13" s="1"/>
  <c r="I3" i="13"/>
  <c r="I6" i="13" s="1"/>
  <c r="E59" i="13" l="1"/>
  <c r="M59" i="13"/>
  <c r="J59" i="13"/>
  <c r="K59" i="13"/>
  <c r="Q54" i="13"/>
  <c r="N59" i="13"/>
  <c r="I59" i="13"/>
  <c r="Q6" i="13"/>
  <c r="C6" i="13" s="1"/>
  <c r="O59" i="13"/>
  <c r="Q56" i="13"/>
  <c r="Q3" i="13"/>
  <c r="C4" i="13" s="1"/>
  <c r="C63" i="13" l="1"/>
  <c r="C66" i="13" s="1"/>
  <c r="C57" i="13" l="1"/>
  <c r="R61" i="5" l="1"/>
  <c r="R63" i="5" s="1"/>
  <c r="I58" i="5" l="1"/>
  <c r="H58" i="5"/>
  <c r="G58" i="5"/>
  <c r="F58" i="5"/>
  <c r="E58" i="5"/>
  <c r="I70" i="5"/>
  <c r="Q57" i="5"/>
  <c r="C57" i="5" s="1"/>
  <c r="Q56" i="5"/>
  <c r="C56" i="5" s="1"/>
  <c r="Q55" i="5"/>
  <c r="C55" i="5" s="1"/>
  <c r="Q54" i="5"/>
  <c r="C54" i="5" s="1"/>
  <c r="Q53" i="5"/>
  <c r="C53" i="5" s="1"/>
  <c r="Q52" i="5"/>
  <c r="C52" i="5" s="1"/>
  <c r="Q51" i="5"/>
  <c r="C51" i="5" s="1"/>
  <c r="Q50" i="5"/>
  <c r="C50" i="5" s="1"/>
  <c r="Q49" i="5"/>
  <c r="C49" i="5" s="1"/>
  <c r="Q48" i="5"/>
  <c r="C48" i="5" s="1"/>
  <c r="Q47" i="5"/>
  <c r="C47" i="5" s="1"/>
  <c r="Q46" i="5"/>
  <c r="C46" i="5" s="1"/>
  <c r="Q45" i="5"/>
  <c r="C45" i="5" s="1"/>
  <c r="Q44" i="5"/>
  <c r="C44" i="5" s="1"/>
  <c r="Q43" i="5"/>
  <c r="C43" i="5" s="1"/>
  <c r="Q42" i="5"/>
  <c r="C42" i="5" s="1"/>
  <c r="Q41" i="5"/>
  <c r="C41" i="5" s="1"/>
  <c r="Q40" i="5"/>
  <c r="C40" i="5" s="1"/>
  <c r="Q39" i="5"/>
  <c r="C39" i="5" s="1"/>
  <c r="Q38" i="5"/>
  <c r="C38" i="5" s="1"/>
  <c r="Q37" i="5"/>
  <c r="C37" i="5" s="1"/>
  <c r="Q36" i="5"/>
  <c r="C36" i="5" s="1"/>
  <c r="Q35" i="5"/>
  <c r="C35" i="5" s="1"/>
  <c r="Q34" i="5"/>
  <c r="C34" i="5" s="1"/>
  <c r="Q33" i="5"/>
  <c r="C33" i="5" s="1"/>
  <c r="Q32" i="5"/>
  <c r="C32" i="5" s="1"/>
  <c r="Q31" i="5"/>
  <c r="C31" i="5" s="1"/>
  <c r="Q30" i="5"/>
  <c r="C30" i="5" s="1"/>
  <c r="Q29" i="5"/>
  <c r="C29" i="5" s="1"/>
  <c r="Q28" i="5"/>
  <c r="C28" i="5" s="1"/>
  <c r="Q27" i="5"/>
  <c r="C27" i="5" s="1"/>
  <c r="Q26" i="5"/>
  <c r="C26" i="5" s="1"/>
  <c r="Q25" i="5"/>
  <c r="C25" i="5" s="1"/>
  <c r="Q24" i="5"/>
  <c r="C24" i="5" s="1"/>
  <c r="Q23" i="5"/>
  <c r="C23" i="5" s="1"/>
  <c r="Q21" i="5"/>
  <c r="C21" i="5" s="1"/>
  <c r="Q16" i="5"/>
  <c r="C16" i="5" s="1"/>
  <c r="Q15" i="5"/>
  <c r="C15" i="5" s="1"/>
  <c r="Q20" i="5"/>
  <c r="C20" i="5" s="1"/>
  <c r="Q17" i="5"/>
  <c r="C17" i="5" s="1"/>
  <c r="Q19" i="5"/>
  <c r="C19" i="5" s="1"/>
  <c r="Q18" i="5"/>
  <c r="C18" i="5" s="1"/>
  <c r="Q14" i="5"/>
  <c r="C14" i="5" s="1"/>
  <c r="Q13" i="5"/>
  <c r="C13" i="5" s="1"/>
  <c r="Q12" i="5"/>
  <c r="C12" i="5" s="1"/>
  <c r="Q11" i="5"/>
  <c r="C11" i="5" s="1"/>
  <c r="Q10" i="5"/>
  <c r="C10" i="5" s="1"/>
  <c r="Q9" i="5"/>
  <c r="C9" i="5" s="1"/>
  <c r="Q8" i="5"/>
  <c r="C8" i="5" s="1"/>
  <c r="P6" i="5"/>
  <c r="O6" i="5"/>
  <c r="N6" i="5"/>
  <c r="M6" i="5"/>
  <c r="L6" i="5"/>
  <c r="K6" i="5"/>
  <c r="J6" i="5"/>
  <c r="G6" i="5"/>
  <c r="G66" i="5" s="1"/>
  <c r="F6" i="5"/>
  <c r="F66" i="5" s="1"/>
  <c r="E6" i="5"/>
  <c r="E66" i="5" s="1"/>
  <c r="I6" i="5"/>
  <c r="I66" i="5" s="1"/>
  <c r="H6" i="5"/>
  <c r="H66" i="5" s="1"/>
  <c r="F59" i="5" l="1"/>
  <c r="F62" i="5" s="1"/>
  <c r="G59" i="5"/>
  <c r="G62" i="5" s="1"/>
  <c r="H59" i="5"/>
  <c r="H62" i="5" s="1"/>
  <c r="F68" i="5"/>
  <c r="F69" i="5" s="1"/>
  <c r="E59" i="5"/>
  <c r="E62" i="5" s="1"/>
  <c r="I59" i="5"/>
  <c r="I62" i="5" s="1"/>
  <c r="Q6" i="5"/>
  <c r="Q5" i="5"/>
  <c r="C5" i="5" s="1"/>
  <c r="Q7" i="5"/>
  <c r="Q62" i="5" l="1"/>
  <c r="Q59" i="5"/>
  <c r="Q65" i="5"/>
  <c r="C7" i="5"/>
  <c r="Q58" i="5"/>
  <c r="C58" i="5" l="1"/>
  <c r="C59" i="5" s="1"/>
  <c r="S58" i="5"/>
  <c r="S62" i="5" s="1"/>
  <c r="C68" i="5" l="1"/>
  <c r="E69" i="5"/>
</calcChain>
</file>

<file path=xl/sharedStrings.xml><?xml version="1.0" encoding="utf-8"?>
<sst xmlns="http://schemas.openxmlformats.org/spreadsheetml/2006/main" count="416" uniqueCount="233">
  <si>
    <t>Producción global de raciones cocidas en todos los comedores productores</t>
  </si>
  <si>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</si>
  <si>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</si>
  <si>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</si>
  <si>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</si>
  <si>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</si>
  <si>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</si>
  <si>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</si>
  <si>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</si>
  <si>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</si>
  <si>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</si>
  <si>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</si>
  <si>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</si>
  <si>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</si>
  <si>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</si>
  <si>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</si>
  <si>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</si>
  <si>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</si>
  <si>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</si>
  <si>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</si>
  <si>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</si>
  <si>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</si>
  <si>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</si>
  <si>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</si>
  <si>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</si>
  <si>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</si>
  <si>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</si>
  <si>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</si>
  <si>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</si>
  <si>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</si>
  <si>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</si>
  <si>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</si>
  <si>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</si>
  <si>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</si>
  <si>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</si>
  <si>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</si>
  <si>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</si>
  <si>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</si>
  <si>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</si>
  <si>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</si>
  <si>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</si>
  <si>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</si>
  <si>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Valverde Mao</t>
  </si>
  <si>
    <t>Dajabón</t>
  </si>
  <si>
    <t>Cristóbal</t>
  </si>
  <si>
    <t>Batey 6</t>
  </si>
  <si>
    <t>Total Comedores Productores</t>
  </si>
  <si>
    <t>Total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</si>
  <si>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</si>
  <si>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</si>
  <si>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</si>
  <si>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</si>
  <si>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</si>
  <si>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</si>
  <si>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</si>
  <si>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</si>
  <si>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</si>
  <si>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</si>
  <si>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</si>
  <si>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 xml:space="preserve">COSTO </t>
  </si>
  <si>
    <t>Galván</t>
  </si>
  <si>
    <t>Postrer Rio</t>
  </si>
  <si>
    <t>Enriquillo</t>
  </si>
  <si>
    <t>Arroyo Cano</t>
  </si>
  <si>
    <t>Paraiso</t>
  </si>
  <si>
    <t>El Yaque</t>
  </si>
  <si>
    <t>NOVIEMBRE</t>
  </si>
  <si>
    <t>DICIEMBRE</t>
  </si>
  <si>
    <t>Villa GonzaleZ</t>
  </si>
  <si>
    <t>Monte cristi</t>
  </si>
  <si>
    <t>Hato Mayor</t>
  </si>
  <si>
    <t xml:space="preserve">Producción global de raciones cocidas </t>
  </si>
  <si>
    <t>cocina movil</t>
  </si>
  <si>
    <t>total</t>
  </si>
  <si>
    <t>Montecristi</t>
  </si>
  <si>
    <t>Loteria Nacional</t>
  </si>
  <si>
    <t xml:space="preserve">Producción global de raciones cocidas en todos los comedores productores </t>
  </si>
  <si>
    <t>ENERO</t>
  </si>
  <si>
    <t>FEBRERO</t>
  </si>
  <si>
    <t>SUB-TOTAL</t>
  </si>
  <si>
    <t>COCINAS MÓVILES</t>
  </si>
  <si>
    <t>COCINA MÓVIL 1-40</t>
  </si>
  <si>
    <t>TOTAL COCINAS MÓVILES</t>
  </si>
  <si>
    <t>LOS  MINA</t>
  </si>
  <si>
    <t>COCINA ADM 1</t>
  </si>
  <si>
    <t>COCINA ADM 11</t>
  </si>
  <si>
    <t>VILLA OLIMPICA</t>
  </si>
  <si>
    <t xml:space="preserve">VILLA LIBERACION </t>
  </si>
  <si>
    <t>CRISTO REY</t>
  </si>
  <si>
    <t>LOS  ALCARRIZOS</t>
  </si>
  <si>
    <t xml:space="preserve">LAS  CAOBAS </t>
  </si>
  <si>
    <t>BAYAGUANA</t>
  </si>
  <si>
    <t>SABANA GRANDE.DE BOYÁ</t>
  </si>
  <si>
    <t>MONTE PLATA</t>
  </si>
  <si>
    <t>LA ROMANA</t>
  </si>
  <si>
    <t>QUISQUEYA</t>
  </si>
  <si>
    <t>SAN PEDRO DE MACORÍS</t>
  </si>
  <si>
    <t>EL SEYBO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</si>
  <si>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</si>
  <si>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</si>
  <si>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</si>
  <si>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</si>
  <si>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</si>
  <si>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</si>
  <si>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</si>
  <si>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</si>
  <si>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</si>
  <si>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</si>
  <si>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</si>
  <si>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</si>
  <si>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</si>
  <si>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</si>
  <si>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</si>
  <si>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</si>
  <si>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VILLA GONZALES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</si>
  <si>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</si>
  <si>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</si>
  <si>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</si>
  <si>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</si>
  <si>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</si>
  <si>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</si>
  <si>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</si>
  <si>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MONTECRISTI</t>
  </si>
  <si>
    <t>DAJABÓN</t>
  </si>
  <si>
    <t>CRISTOBAL</t>
  </si>
  <si>
    <t>BATEY 6</t>
  </si>
  <si>
    <t>TOTAL COMEDORES PRODUCTORES</t>
  </si>
  <si>
    <t>Cantidad</t>
  </si>
  <si>
    <t>Monto RD$</t>
  </si>
  <si>
    <t>La cocina  costo es de 66.65</t>
  </si>
  <si>
    <t>La cocina  costo es de 65.5</t>
  </si>
  <si>
    <t>La cocina  costo es de 64.26</t>
  </si>
  <si>
    <t>La cocina  costo 61.41</t>
  </si>
  <si>
    <t>La cocina  64.77</t>
  </si>
  <si>
    <t>Use contabilidad</t>
  </si>
  <si>
    <t>Fijos de 68.43</t>
  </si>
  <si>
    <t>Fijos de 67.27</t>
  </si>
  <si>
    <t>Fijos de 68.30</t>
  </si>
  <si>
    <t>Fijos 62.72</t>
  </si>
  <si>
    <t>Fijos 66.63</t>
  </si>
  <si>
    <t xml:space="preserve">SEPTIEMBRE 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</si>
  <si>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</si>
  <si>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</si>
  <si>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</si>
  <si>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</si>
  <si>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</si>
  <si>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</si>
  <si>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 xml:space="preserve">NOVIEMBRE </t>
  </si>
  <si>
    <t>Villa Gonzalez</t>
  </si>
  <si>
    <t xml:space="preserve">Fijo </t>
  </si>
  <si>
    <t xml:space="preserve">Cocidas </t>
  </si>
  <si>
    <t xml:space="preserve">Crudas </t>
  </si>
  <si>
    <t>Crudas proceso</t>
  </si>
  <si>
    <t xml:space="preserve">Entrega de Raciones Crudas a Instituciones </t>
  </si>
  <si>
    <t>Mena</t>
  </si>
  <si>
    <t>Nizao</t>
  </si>
  <si>
    <t>UASD Sto.Dgo</t>
  </si>
  <si>
    <t xml:space="preserve">Villa Altagracia </t>
  </si>
  <si>
    <t>NAVIDAD  DEL CAMBIO 5,702,671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</si>
  <si>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</si>
  <si>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</si>
  <si>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</si>
  <si>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</si>
  <si>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</si>
  <si>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</si>
  <si>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</si>
  <si>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</si>
  <si>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</si>
  <si>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 xml:space="preserve">RELACION DE RACIONES CRUDAS </t>
  </si>
  <si>
    <t>DE AGOSTO 2020 -ABRIL 2023</t>
  </si>
  <si>
    <t>Productos</t>
  </si>
  <si>
    <t>Cantidad de Raciones Crudas a Instituciones  2021</t>
  </si>
  <si>
    <t>Inversión de Raciones Crudas a Instituciones de  2021</t>
  </si>
  <si>
    <t>Cantidad de Raciones Crudas a Instituciones 2022</t>
  </si>
  <si>
    <t>Inversión Raciones Crudas a Instituciones   2022</t>
  </si>
  <si>
    <t>Cantidad de Raciones Crudas a Instituciones  enero-abril 2023</t>
  </si>
  <si>
    <t>Inversión Raciones Crudas a Instituciones  enero-abril 2023</t>
  </si>
  <si>
    <t>Donaciones de Raciones  Crudas</t>
  </si>
  <si>
    <t>Entrega de alimentos Crudos Procuraduría General  (PGR)</t>
  </si>
  <si>
    <t xml:space="preserve">TOTAL </t>
  </si>
  <si>
    <t>CEA</t>
  </si>
  <si>
    <t>La Victoria</t>
  </si>
  <si>
    <t>Vicente Noble</t>
  </si>
  <si>
    <t>Cien Fuegos</t>
  </si>
  <si>
    <t>Jima Abajo</t>
  </si>
  <si>
    <t xml:space="preserve">Robert R. Cabral </t>
  </si>
  <si>
    <t>Padre las Casas</t>
  </si>
  <si>
    <t xml:space="preserve">Cocina normal </t>
  </si>
  <si>
    <t xml:space="preserve">Cocina Navidad </t>
  </si>
  <si>
    <t xml:space="preserve">Total </t>
  </si>
  <si>
    <t xml:space="preserve">Cuadrado </t>
  </si>
  <si>
    <t xml:space="preserve">Fijos </t>
  </si>
  <si>
    <t xml:space="preserve">Fijos Navidad </t>
  </si>
  <si>
    <t>GALVAN</t>
  </si>
  <si>
    <t>POSTRER RIO</t>
  </si>
  <si>
    <t>Fijo normal</t>
  </si>
  <si>
    <t>Navidad del Cambio</t>
  </si>
  <si>
    <t xml:space="preserve">Cuadro mio, intentando estar acorde con los reportes </t>
  </si>
  <si>
    <t xml:space="preserve">Navidad del cambio, que eran Buffet </t>
  </si>
  <si>
    <t xml:space="preserve">Navidad de cambio </t>
  </si>
  <si>
    <t xml:space="preserve">NOTA. Mía, LOS 13673247, TIENE EL TOTAL DE DICIEMBRE </t>
  </si>
  <si>
    <t>Inversión Total fijo,cocin y navidad cambio</t>
  </si>
  <si>
    <t xml:space="preserve">Cocina Móvil </t>
  </si>
  <si>
    <t xml:space="preserve">La produccion de Diciembre se cuadro asi, para cuadrar con los informe , contabilidas </t>
  </si>
  <si>
    <t xml:space="preserve">asi como con la Navidad del Cambio reportada </t>
  </si>
  <si>
    <t>VALVERDE MAO</t>
  </si>
  <si>
    <t>Cocina</t>
  </si>
  <si>
    <t xml:space="preserve">Navidad </t>
  </si>
  <si>
    <t xml:space="preserve">DICIEMBRE </t>
  </si>
  <si>
    <t xml:space="preserve">Villa Liberación  </t>
  </si>
  <si>
    <t xml:space="preserve"> Galván </t>
  </si>
  <si>
    <t xml:space="preserve"> Bohechio </t>
  </si>
  <si>
    <t xml:space="preserve"> Moca </t>
  </si>
  <si>
    <t xml:space="preserve"> Bonao </t>
  </si>
  <si>
    <t xml:space="preserve"> Postrer Rio </t>
  </si>
  <si>
    <t xml:space="preserve">Navidad de lcambio </t>
  </si>
  <si>
    <t>UAS Sto.Dgo</t>
  </si>
  <si>
    <t xml:space="preserve">Villa Altgracia </t>
  </si>
  <si>
    <t>Tamayo</t>
  </si>
  <si>
    <t xml:space="preserve">Cocina apaorte  Navidad </t>
  </si>
  <si>
    <t xml:space="preserve"> Navidad </t>
  </si>
  <si>
    <t>Fijos</t>
  </si>
  <si>
    <t>Cienfuegos</t>
  </si>
  <si>
    <t>130, 000</t>
  </si>
  <si>
    <t xml:space="preserve">Loma de Cabrera </t>
  </si>
  <si>
    <t xml:space="preserve">Rio San Juan </t>
  </si>
  <si>
    <t>El Pino</t>
  </si>
  <si>
    <t>COCINA MOVIL RD$</t>
  </si>
  <si>
    <t>FIJO RD$</t>
  </si>
  <si>
    <t xml:space="preserve">Duverge </t>
  </si>
  <si>
    <t>Yamasa</t>
  </si>
  <si>
    <t>Duverge</t>
  </si>
  <si>
    <t>UASD Bonao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</si>
</sst>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0;[Red]#,##0.00"/>
    <numFmt numFmtId="166" formatCode="_(* #,##0_);_(* \(#,##0\);_(* &quot;-&quot;??_);_(@_)"/>
    <numFmt numFmtId="167" formatCode="_-* #,##0.00\ _€_-;\-* #,##0.00\ _€_-;_-* &quot;-&quot;??\ _€_-;_-@_-"/>
    <numFmt numFmtId="168" formatCode="_-* #,##0\ _€_-;\-* #,##0\ _€_-;_-* &quot;-&quot;??\ _€_-;_-@_-"/>
    <numFmt numFmtId="169" formatCode="_(* #,##0.0_);_(* \(#,##0.0\);_(* &quot;-&quot;??_);_(@_)"/>
    <numFmt numFmtId="170" formatCode="_(* #,##0.0000_);_(* \(#,##0.0000\);_(* &quot;-&quot;??_);_(@_)"/>
    <numFmt numFmtId="171" formatCode="_(* #,##0.000_);_(* \(#,##0.000\);_(* &quot;-&quot;??_);_(@_)"/>
    <numFmt numFmtId="172" formatCode="_(* #,##0.000000_);_(* \(#,##0.000000\);_(* &quot;-&quot;??_);_(@_)"/>
    <numFmt numFmtId="173" formatCode="_(* #,##0.000000000000_);_(* \(#,##0.000000000000\);_(* &quot;-&quot;??_);_(@_)"/>
    <numFmt numFmtId="174" formatCode="_(* #,##0.00_);_(* \(#,##0.00\);_(* &quot;-&quot;_);_(@_)"/>
  </numFmts>
  <fonts count="32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2"/>
      <color rgb="FF202124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rgb="FFFFFFFF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2"/>
      <color rgb="FF4C4747"/>
      <name val="Times New Roman"/>
      <family val="1"/>
    </font>
    <font>
      <b/>
      <sz val="12"/>
      <color rgb="FF4C4747"/>
      <name val="Times New Roman"/>
      <family val="1"/>
    </font>
    <font>
      <sz val="12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4C4747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2"/>
      <color rgb="FF000000"/>
      <name val="Inherit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 style="thin">
        <color theme="4"/>
      </bottom>
      <diagonal/>
    </border>
    <border>
      <left/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/>
      <diagonal/>
    </border>
    <border>
      <left style="thin">
        <color theme="4" tint="-0.249977111117893"/>
      </left>
      <right/>
      <top/>
      <bottom style="thin">
        <color theme="4"/>
      </bottom>
      <diagonal/>
    </border>
    <border>
      <left style="thin">
        <color theme="4" tint="-0.249977111117893"/>
      </left>
      <right style="thin">
        <color theme="4"/>
      </right>
      <top/>
      <bottom/>
      <diagonal/>
    </border>
    <border>
      <left style="thin">
        <color theme="4" tint="-0.249977111117893"/>
      </left>
      <right style="thin">
        <color theme="4"/>
      </right>
      <top style="thin">
        <color theme="4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6">
    <xf numFmtId="0" fontId="0" fillId="0" borderId="0" xfId="0"/>
    <xf numFmtId="0" fontId="2" fillId="0" borderId="3" xfId="0" applyFont="1" applyBorder="1" applyAlignment="1">
      <alignment horizontal="justify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justify" vertical="center"/>
    </xf>
    <xf numFmtId="3" fontId="2" fillId="4" borderId="4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3" fontId="3" fillId="2" borderId="4" xfId="0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0" fillId="7" borderId="5" xfId="0" applyFill="1" applyBorder="1"/>
    <xf numFmtId="0" fontId="2" fillId="4" borderId="7" xfId="0" applyFont="1" applyFill="1" applyBorder="1" applyAlignment="1">
      <alignment horizontal="justify" vertical="center"/>
    </xf>
    <xf numFmtId="0" fontId="5" fillId="0" borderId="5" xfId="0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6" borderId="5" xfId="0" applyNumberFormat="1" applyFill="1" applyBorder="1"/>
    <xf numFmtId="164" fontId="0" fillId="0" borderId="0" xfId="0" applyNumberFormat="1"/>
    <xf numFmtId="0" fontId="2" fillId="8" borderId="3" xfId="0" applyFont="1" applyFill="1" applyBorder="1" applyAlignment="1">
      <alignment horizontal="justify" vertical="center"/>
    </xf>
    <xf numFmtId="0" fontId="2" fillId="8" borderId="8" xfId="0" applyFont="1" applyFill="1" applyBorder="1" applyAlignment="1">
      <alignment horizontal="justify" vertical="center"/>
    </xf>
    <xf numFmtId="4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165" fontId="0" fillId="7" borderId="5" xfId="0" applyNumberFormat="1" applyFill="1" applyBorder="1"/>
    <xf numFmtId="43" fontId="0" fillId="0" borderId="0" xfId="0" applyNumberFormat="1"/>
    <xf numFmtId="4" fontId="0" fillId="0" borderId="0" xfId="0" applyNumberFormat="1"/>
    <xf numFmtId="166" fontId="0" fillId="0" borderId="0" xfId="0" applyNumberFormat="1"/>
    <xf numFmtId="166" fontId="0" fillId="0" borderId="5" xfId="1" applyNumberFormat="1" applyFont="1" applyBorder="1"/>
    <xf numFmtId="43" fontId="0" fillId="0" borderId="0" xfId="1" applyFont="1"/>
    <xf numFmtId="166" fontId="0" fillId="0" borderId="0" xfId="1" applyNumberFormat="1" applyFont="1"/>
    <xf numFmtId="164" fontId="8" fillId="0" borderId="5" xfId="0" applyNumberFormat="1" applyFont="1" applyBorder="1"/>
    <xf numFmtId="164" fontId="0" fillId="0" borderId="5" xfId="0" applyNumberFormat="1" applyBorder="1" applyAlignment="1">
      <alignment horizontal="right"/>
    </xf>
    <xf numFmtId="0" fontId="8" fillId="6" borderId="5" xfId="0" applyFont="1" applyFill="1" applyBorder="1"/>
    <xf numFmtId="164" fontId="8" fillId="6" borderId="5" xfId="0" applyNumberFormat="1" applyFont="1" applyFill="1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/>
    <xf numFmtId="164" fontId="10" fillId="6" borderId="3" xfId="0" applyNumberFormat="1" applyFont="1" applyFill="1" applyBorder="1" applyAlignment="1">
      <alignment horizontal="right" vertical="center"/>
    </xf>
    <xf numFmtId="164" fontId="8" fillId="6" borderId="0" xfId="0" applyNumberFormat="1" applyFont="1" applyFill="1"/>
    <xf numFmtId="165" fontId="0" fillId="6" borderId="5" xfId="0" applyNumberFormat="1" applyFill="1" applyBorder="1"/>
    <xf numFmtId="165" fontId="0" fillId="0" borderId="0" xfId="0" applyNumberFormat="1"/>
    <xf numFmtId="164" fontId="0" fillId="6" borderId="6" xfId="0" applyNumberFormat="1" applyFill="1" applyBorder="1"/>
    <xf numFmtId="3" fontId="0" fillId="0" borderId="0" xfId="0" applyNumberFormat="1"/>
    <xf numFmtId="3" fontId="2" fillId="8" borderId="13" xfId="0" applyNumberFormat="1" applyFont="1" applyFill="1" applyBorder="1" applyAlignment="1">
      <alignment horizontal="right" vertical="center"/>
    </xf>
    <xf numFmtId="0" fontId="0" fillId="0" borderId="0" xfId="0" applyBorder="1"/>
    <xf numFmtId="43" fontId="0" fillId="8" borderId="0" xfId="0" applyNumberFormat="1" applyFill="1"/>
    <xf numFmtId="164" fontId="0" fillId="8" borderId="5" xfId="0" applyNumberFormat="1" applyFill="1" applyBorder="1"/>
    <xf numFmtId="164" fontId="0" fillId="9" borderId="5" xfId="0" applyNumberFormat="1" applyFill="1" applyBorder="1"/>
    <xf numFmtId="0" fontId="0" fillId="8" borderId="0" xfId="0" applyFill="1"/>
    <xf numFmtId="164" fontId="0" fillId="8" borderId="0" xfId="0" applyNumberFormat="1" applyFill="1" applyBorder="1"/>
    <xf numFmtId="43" fontId="0" fillId="0" borderId="0" xfId="0" applyNumberFormat="1" applyBorder="1"/>
    <xf numFmtId="0" fontId="0" fillId="0" borderId="22" xfId="0" applyBorder="1"/>
    <xf numFmtId="0" fontId="0" fillId="8" borderId="25" xfId="0" applyFill="1" applyBorder="1"/>
    <xf numFmtId="0" fontId="8" fillId="11" borderId="5" xfId="0" applyFont="1" applyFill="1" applyBorder="1" applyAlignment="1">
      <alignment horizontal="center"/>
    </xf>
    <xf numFmtId="0" fontId="0" fillId="0" borderId="26" xfId="0" applyBorder="1"/>
    <xf numFmtId="166" fontId="0" fillId="0" borderId="0" xfId="1" applyNumberFormat="1" applyFont="1" applyBorder="1"/>
    <xf numFmtId="43" fontId="0" fillId="0" borderId="0" xfId="1" applyFont="1" applyBorder="1"/>
    <xf numFmtId="0" fontId="17" fillId="0" borderId="0" xfId="0" applyFont="1" applyBorder="1" applyAlignment="1">
      <alignment vertical="center"/>
    </xf>
    <xf numFmtId="0" fontId="0" fillId="8" borderId="0" xfId="0" applyFill="1" applyBorder="1"/>
    <xf numFmtId="0" fontId="17" fillId="0" borderId="28" xfId="0" applyFont="1" applyBorder="1" applyAlignment="1">
      <alignment vertical="center"/>
    </xf>
    <xf numFmtId="0" fontId="18" fillId="10" borderId="29" xfId="0" applyFont="1" applyFill="1" applyBorder="1" applyAlignment="1">
      <alignment vertical="center"/>
    </xf>
    <xf numFmtId="166" fontId="9" fillId="13" borderId="5" xfId="1" applyNumberFormat="1" applyFont="1" applyFill="1" applyBorder="1"/>
    <xf numFmtId="166" fontId="9" fillId="6" borderId="5" xfId="1" applyNumberFormat="1" applyFont="1" applyFill="1" applyBorder="1"/>
    <xf numFmtId="0" fontId="18" fillId="10" borderId="28" xfId="0" applyFont="1" applyFill="1" applyBorder="1" applyAlignment="1">
      <alignment vertical="center"/>
    </xf>
    <xf numFmtId="43" fontId="0" fillId="0" borderId="5" xfId="1" applyFont="1" applyBorder="1"/>
    <xf numFmtId="166" fontId="17" fillId="12" borderId="33" xfId="1" applyNumberFormat="1" applyFont="1" applyFill="1" applyBorder="1" applyAlignment="1">
      <alignment vertical="center"/>
    </xf>
    <xf numFmtId="166" fontId="17" fillId="12" borderId="34" xfId="1" applyNumberFormat="1" applyFont="1" applyFill="1" applyBorder="1" applyAlignment="1">
      <alignment horizontal="right" vertical="center"/>
    </xf>
    <xf numFmtId="166" fontId="0" fillId="0" borderId="5" xfId="1" applyNumberFormat="1" applyFont="1" applyFill="1" applyBorder="1"/>
    <xf numFmtId="166" fontId="0" fillId="8" borderId="5" xfId="1" applyNumberFormat="1" applyFont="1" applyFill="1" applyBorder="1"/>
    <xf numFmtId="168" fontId="0" fillId="0" borderId="5" xfId="1" applyNumberFormat="1" applyFont="1" applyBorder="1"/>
    <xf numFmtId="167" fontId="0" fillId="0" borderId="0" xfId="0" applyNumberFormat="1"/>
    <xf numFmtId="166" fontId="17" fillId="12" borderId="35" xfId="1" applyNumberFormat="1" applyFont="1" applyFill="1" applyBorder="1" applyAlignment="1">
      <alignment vertical="center"/>
    </xf>
    <xf numFmtId="166" fontId="17" fillId="8" borderId="35" xfId="1" applyNumberFormat="1" applyFont="1" applyFill="1" applyBorder="1" applyAlignment="1">
      <alignment vertical="center"/>
    </xf>
    <xf numFmtId="166" fontId="15" fillId="0" borderId="5" xfId="1" applyNumberFormat="1" applyFont="1" applyBorder="1"/>
    <xf numFmtId="166" fontId="0" fillId="0" borderId="36" xfId="1" applyNumberFormat="1" applyFont="1" applyFill="1" applyBorder="1"/>
    <xf numFmtId="166" fontId="17" fillId="12" borderId="31" xfId="1" applyNumberFormat="1" applyFont="1" applyFill="1" applyBorder="1" applyAlignment="1">
      <alignment vertical="center"/>
    </xf>
    <xf numFmtId="166" fontId="17" fillId="8" borderId="38" xfId="1" applyNumberFormat="1" applyFont="1" applyFill="1" applyBorder="1" applyAlignment="1">
      <alignment vertical="center"/>
    </xf>
    <xf numFmtId="166" fontId="17" fillId="8" borderId="33" xfId="1" applyNumberFormat="1" applyFont="1" applyFill="1" applyBorder="1" applyAlignment="1">
      <alignment vertical="center"/>
    </xf>
    <xf numFmtId="166" fontId="17" fillId="8" borderId="39" xfId="1" applyNumberFormat="1" applyFont="1" applyFill="1" applyBorder="1" applyAlignment="1">
      <alignment vertical="center"/>
    </xf>
    <xf numFmtId="166" fontId="0" fillId="9" borderId="5" xfId="1" applyNumberFormat="1" applyFont="1" applyFill="1" applyBorder="1"/>
    <xf numFmtId="166" fontId="17" fillId="8" borderId="40" xfId="1" applyNumberFormat="1" applyFont="1" applyFill="1" applyBorder="1" applyAlignment="1">
      <alignment vertical="center"/>
    </xf>
    <xf numFmtId="166" fontId="17" fillId="8" borderId="31" xfId="1" applyNumberFormat="1" applyFont="1" applyFill="1" applyBorder="1" applyAlignment="1">
      <alignment vertical="center"/>
    </xf>
    <xf numFmtId="166" fontId="17" fillId="12" borderId="40" xfId="1" applyNumberFormat="1" applyFont="1" applyFill="1" applyBorder="1" applyAlignment="1">
      <alignment vertical="center"/>
    </xf>
    <xf numFmtId="166" fontId="17" fillId="8" borderId="41" xfId="1" applyNumberFormat="1" applyFont="1" applyFill="1" applyBorder="1" applyAlignment="1">
      <alignment vertical="center"/>
    </xf>
    <xf numFmtId="166" fontId="17" fillId="12" borderId="41" xfId="1" applyNumberFormat="1" applyFont="1" applyFill="1" applyBorder="1" applyAlignment="1">
      <alignment vertical="center"/>
    </xf>
    <xf numFmtId="43" fontId="17" fillId="8" borderId="40" xfId="1" applyFont="1" applyFill="1" applyBorder="1" applyAlignment="1">
      <alignment vertical="center"/>
    </xf>
    <xf numFmtId="43" fontId="17" fillId="8" borderId="42" xfId="1" applyFont="1" applyFill="1" applyBorder="1" applyAlignment="1">
      <alignment vertical="center"/>
    </xf>
    <xf numFmtId="166" fontId="0" fillId="8" borderId="0" xfId="0" applyNumberFormat="1" applyFill="1"/>
    <xf numFmtId="166" fontId="0" fillId="13" borderId="5" xfId="1" applyNumberFormat="1" applyFont="1" applyFill="1" applyBorder="1"/>
    <xf numFmtId="168" fontId="0" fillId="13" borderId="5" xfId="1" applyNumberFormat="1" applyFont="1" applyFill="1" applyBorder="1"/>
    <xf numFmtId="166" fontId="0" fillId="6" borderId="5" xfId="1" applyNumberFormat="1" applyFont="1" applyFill="1" applyBorder="1"/>
    <xf numFmtId="166" fontId="0" fillId="6" borderId="0" xfId="1" applyNumberFormat="1" applyFont="1" applyFill="1" applyBorder="1"/>
    <xf numFmtId="0" fontId="12" fillId="10" borderId="41" xfId="0" applyFont="1" applyFill="1" applyBorder="1" applyAlignment="1">
      <alignment vertical="center"/>
    </xf>
    <xf numFmtId="166" fontId="0" fillId="8" borderId="0" xfId="0" applyNumberFormat="1" applyFill="1" applyBorder="1"/>
    <xf numFmtId="166" fontId="8" fillId="6" borderId="5" xfId="1" applyNumberFormat="1" applyFont="1" applyFill="1" applyBorder="1"/>
    <xf numFmtId="168" fontId="0" fillId="6" borderId="5" xfId="1" applyNumberFormat="1" applyFont="1" applyFill="1" applyBorder="1"/>
    <xf numFmtId="0" fontId="14" fillId="10" borderId="44" xfId="0" applyFont="1" applyFill="1" applyBorder="1" applyAlignment="1">
      <alignment vertical="center"/>
    </xf>
    <xf numFmtId="166" fontId="0" fillId="14" borderId="5" xfId="1" applyNumberFormat="1" applyFont="1" applyFill="1" applyBorder="1"/>
    <xf numFmtId="167" fontId="0" fillId="14" borderId="5" xfId="1" applyNumberFormat="1" applyFont="1" applyFill="1" applyBorder="1"/>
    <xf numFmtId="166" fontId="0" fillId="14" borderId="0" xfId="1" applyNumberFormat="1" applyFont="1" applyFill="1" applyBorder="1"/>
    <xf numFmtId="0" fontId="8" fillId="0" borderId="0" xfId="0" applyFont="1"/>
    <xf numFmtId="43" fontId="0" fillId="0" borderId="5" xfId="1" applyNumberFormat="1" applyFont="1" applyBorder="1"/>
    <xf numFmtId="43" fontId="0" fillId="0" borderId="5" xfId="1" applyNumberFormat="1" applyFont="1" applyFill="1" applyBorder="1"/>
    <xf numFmtId="43" fontId="0" fillId="15" borderId="5" xfId="1" applyFont="1" applyFill="1" applyBorder="1"/>
    <xf numFmtId="43" fontId="0" fillId="15" borderId="0" xfId="1" applyFont="1" applyFill="1" applyBorder="1"/>
    <xf numFmtId="166" fontId="0" fillId="0" borderId="0" xfId="0" applyNumberFormat="1" applyBorder="1"/>
    <xf numFmtId="43" fontId="0" fillId="0" borderId="0" xfId="0" applyNumberFormat="1" applyBorder="1" applyAlignment="1">
      <alignment wrapText="1"/>
    </xf>
    <xf numFmtId="169" fontId="0" fillId="0" borderId="0" xfId="0" applyNumberFormat="1" applyBorder="1" applyAlignment="1">
      <alignment wrapText="1"/>
    </xf>
    <xf numFmtId="166" fontId="0" fillId="0" borderId="0" xfId="0" applyNumberFormat="1" applyBorder="1" applyAlignment="1">
      <alignment wrapText="1"/>
    </xf>
    <xf numFmtId="43" fontId="0" fillId="0" borderId="0" xfId="0" applyNumberFormat="1" applyFill="1" applyBorder="1"/>
    <xf numFmtId="167" fontId="0" fillId="0" borderId="0" xfId="0" applyNumberFormat="1" applyBorder="1"/>
    <xf numFmtId="43" fontId="0" fillId="8" borderId="0" xfId="1" applyFont="1" applyFill="1"/>
    <xf numFmtId="4" fontId="0" fillId="8" borderId="0" xfId="0" applyNumberFormat="1" applyFill="1"/>
    <xf numFmtId="43" fontId="0" fillId="6" borderId="0" xfId="1" applyFont="1" applyFill="1"/>
    <xf numFmtId="164" fontId="4" fillId="9" borderId="51" xfId="0" applyNumberFormat="1" applyFont="1" applyFill="1" applyBorder="1" applyAlignment="1">
      <alignment vertical="center"/>
    </xf>
    <xf numFmtId="43" fontId="0" fillId="0" borderId="0" xfId="1" applyFont="1" applyAlignment="1">
      <alignment vertical="top"/>
    </xf>
    <xf numFmtId="3" fontId="2" fillId="0" borderId="5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/>
    </xf>
    <xf numFmtId="0" fontId="2" fillId="0" borderId="18" xfId="0" applyFont="1" applyBorder="1" applyAlignment="1">
      <alignment horizontal="justify" vertical="top"/>
    </xf>
    <xf numFmtId="3" fontId="2" fillId="8" borderId="19" xfId="0" applyNumberFormat="1" applyFont="1" applyFill="1" applyBorder="1" applyAlignment="1">
      <alignment horizontal="right" vertical="top"/>
    </xf>
    <xf numFmtId="164" fontId="0" fillId="0" borderId="5" xfId="0" applyNumberFormat="1" applyBorder="1" applyAlignment="1"/>
    <xf numFmtId="164" fontId="0" fillId="0" borderId="6" xfId="0" applyNumberFormat="1" applyBorder="1" applyAlignment="1"/>
    <xf numFmtId="0" fontId="1" fillId="2" borderId="2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right" vertical="top" wrapText="1"/>
    </xf>
    <xf numFmtId="164" fontId="0" fillId="9" borderId="5" xfId="0" applyNumberFormat="1" applyFill="1" applyBorder="1" applyAlignment="1"/>
    <xf numFmtId="164" fontId="0" fillId="9" borderId="0" xfId="0" applyNumberFormat="1" applyFill="1" applyAlignment="1"/>
    <xf numFmtId="0" fontId="2" fillId="8" borderId="12" xfId="0" applyFont="1" applyFill="1" applyBorder="1" applyAlignment="1">
      <alignment horizontal="justify"/>
    </xf>
    <xf numFmtId="3" fontId="2" fillId="8" borderId="13" xfId="0" applyNumberFormat="1" applyFont="1" applyFill="1" applyBorder="1" applyAlignment="1">
      <alignment horizontal="right" vertical="top"/>
    </xf>
    <xf numFmtId="0" fontId="2" fillId="4" borderId="12" xfId="0" applyFont="1" applyFill="1" applyBorder="1" applyAlignment="1">
      <alignment horizontal="justify"/>
    </xf>
    <xf numFmtId="3" fontId="2" fillId="4" borderId="13" xfId="0" applyNumberFormat="1" applyFont="1" applyFill="1" applyBorder="1" applyAlignment="1">
      <alignment horizontal="right" vertical="top"/>
    </xf>
    <xf numFmtId="164" fontId="0" fillId="8" borderId="6" xfId="0" applyNumberFormat="1" applyFill="1" applyBorder="1"/>
    <xf numFmtId="0" fontId="2" fillId="8" borderId="12" xfId="0" applyFont="1" applyFill="1" applyBorder="1" applyAlignment="1">
      <alignment horizontal="justify" vertical="top"/>
    </xf>
    <xf numFmtId="0" fontId="5" fillId="4" borderId="12" xfId="0" applyFont="1" applyFill="1" applyBorder="1" applyAlignment="1"/>
    <xf numFmtId="0" fontId="2" fillId="4" borderId="12" xfId="0" applyFont="1" applyFill="1" applyBorder="1" applyAlignment="1">
      <alignment horizontal="justify" vertical="top"/>
    </xf>
    <xf numFmtId="0" fontId="3" fillId="2" borderId="21" xfId="0" applyFont="1" applyFill="1" applyBorder="1" applyAlignment="1">
      <alignment horizontal="justify" vertical="top"/>
    </xf>
    <xf numFmtId="3" fontId="3" fillId="2" borderId="9" xfId="0" applyNumberFormat="1" applyFont="1" applyFill="1" applyBorder="1" applyAlignment="1">
      <alignment horizontal="right" vertical="top"/>
    </xf>
    <xf numFmtId="164" fontId="0" fillId="9" borderId="6" xfId="0" applyNumberFormat="1" applyFill="1" applyBorder="1"/>
    <xf numFmtId="0" fontId="3" fillId="8" borderId="0" xfId="0" applyFont="1" applyFill="1" applyBorder="1" applyAlignment="1">
      <alignment horizontal="justify" vertical="top"/>
    </xf>
    <xf numFmtId="3" fontId="3" fillId="8" borderId="0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vertical="top"/>
    </xf>
    <xf numFmtId="43" fontId="0" fillId="6" borderId="5" xfId="1" applyFont="1" applyFill="1" applyBorder="1"/>
    <xf numFmtId="43" fontId="0" fillId="6" borderId="6" xfId="1" applyFont="1" applyFill="1" applyBorder="1"/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43" fontId="6" fillId="0" borderId="46" xfId="1" applyFont="1" applyBorder="1"/>
    <xf numFmtId="169" fontId="6" fillId="0" borderId="48" xfId="1" applyNumberFormat="1" applyFont="1" applyBorder="1"/>
    <xf numFmtId="0" fontId="6" fillId="0" borderId="47" xfId="0" applyFont="1" applyBorder="1"/>
    <xf numFmtId="4" fontId="0" fillId="16" borderId="5" xfId="0" applyNumberFormat="1" applyFill="1" applyBorder="1"/>
    <xf numFmtId="165" fontId="0" fillId="16" borderId="5" xfId="0" applyNumberFormat="1" applyFill="1" applyBorder="1"/>
    <xf numFmtId="4" fontId="0" fillId="7" borderId="5" xfId="0" applyNumberFormat="1" applyFill="1" applyBorder="1"/>
    <xf numFmtId="43" fontId="0" fillId="7" borderId="5" xfId="1" applyFont="1" applyFill="1" applyBorder="1"/>
    <xf numFmtId="43" fontId="21" fillId="0" borderId="52" xfId="1" applyFont="1" applyBorder="1"/>
    <xf numFmtId="43" fontId="6" fillId="0" borderId="0" xfId="1" applyFont="1" applyBorder="1"/>
    <xf numFmtId="0" fontId="6" fillId="0" borderId="11" xfId="0" applyFont="1" applyBorder="1"/>
    <xf numFmtId="43" fontId="6" fillId="0" borderId="52" xfId="1" applyFont="1" applyBorder="1"/>
    <xf numFmtId="43" fontId="6" fillId="0" borderId="0" xfId="0" applyNumberFormat="1" applyFont="1" applyBorder="1"/>
    <xf numFmtId="43" fontId="6" fillId="0" borderId="49" xfId="1" applyFont="1" applyBorder="1"/>
    <xf numFmtId="0" fontId="6" fillId="0" borderId="50" xfId="0" applyFont="1" applyBorder="1"/>
    <xf numFmtId="0" fontId="6" fillId="0" borderId="9" xfId="0" applyFont="1" applyBorder="1"/>
    <xf numFmtId="43" fontId="15" fillId="0" borderId="0" xfId="1" applyFont="1"/>
    <xf numFmtId="170" fontId="0" fillId="0" borderId="0" xfId="1" applyNumberFormat="1" applyFont="1"/>
    <xf numFmtId="43" fontId="8" fillId="17" borderId="5" xfId="1" applyFont="1" applyFill="1" applyBorder="1"/>
    <xf numFmtId="43" fontId="8" fillId="17" borderId="5" xfId="0" applyNumberFormat="1" applyFont="1" applyFill="1" applyBorder="1"/>
    <xf numFmtId="43" fontId="6" fillId="0" borderId="0" xfId="0" applyNumberFormat="1" applyFont="1"/>
    <xf numFmtId="43" fontId="22" fillId="0" borderId="0" xfId="1" applyFont="1" applyBorder="1" applyAlignment="1">
      <alignment vertical="top"/>
    </xf>
    <xf numFmtId="4" fontId="15" fillId="0" borderId="0" xfId="0" applyNumberFormat="1" applyFont="1"/>
    <xf numFmtId="164" fontId="15" fillId="0" borderId="0" xfId="0" applyNumberFormat="1" applyFont="1"/>
    <xf numFmtId="0" fontId="24" fillId="0" borderId="0" xfId="0" applyFont="1"/>
    <xf numFmtId="0" fontId="14" fillId="18" borderId="54" xfId="0" applyFont="1" applyFill="1" applyBorder="1" applyAlignment="1">
      <alignment horizontal="center" vertical="top" wrapText="1"/>
    </xf>
    <xf numFmtId="0" fontId="25" fillId="6" borderId="55" xfId="0" applyFont="1" applyFill="1" applyBorder="1" applyAlignment="1">
      <alignment horizontal="center" vertical="top" wrapText="1"/>
    </xf>
    <xf numFmtId="0" fontId="25" fillId="17" borderId="55" xfId="0" applyFont="1" applyFill="1" applyBorder="1" applyAlignment="1">
      <alignment horizontal="center" vertical="top" wrapText="1"/>
    </xf>
    <xf numFmtId="0" fontId="25" fillId="17" borderId="56" xfId="0" applyFont="1" applyFill="1" applyBorder="1" applyAlignment="1">
      <alignment horizontal="center" vertical="top" wrapText="1"/>
    </xf>
    <xf numFmtId="0" fontId="25" fillId="19" borderId="10" xfId="0" applyFont="1" applyFill="1" applyBorder="1" applyAlignment="1">
      <alignment horizontal="center" vertical="top" wrapText="1"/>
    </xf>
    <xf numFmtId="0" fontId="25" fillId="19" borderId="47" xfId="0" applyFont="1" applyFill="1" applyBorder="1" applyAlignment="1">
      <alignment horizontal="center" vertical="top" wrapText="1"/>
    </xf>
    <xf numFmtId="0" fontId="26" fillId="0" borderId="57" xfId="0" applyFont="1" applyBorder="1" applyAlignment="1">
      <alignment vertical="top" wrapText="1"/>
    </xf>
    <xf numFmtId="3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166" fontId="0" fillId="0" borderId="13" xfId="0" applyNumberFormat="1" applyBorder="1"/>
    <xf numFmtId="0" fontId="26" fillId="0" borderId="12" xfId="0" applyFont="1" applyBorder="1" applyAlignment="1">
      <alignment vertical="top" wrapText="1"/>
    </xf>
    <xf numFmtId="4" fontId="0" fillId="0" borderId="5" xfId="0" applyNumberFormat="1" applyBorder="1" applyAlignment="1">
      <alignment vertical="top"/>
    </xf>
    <xf numFmtId="166" fontId="0" fillId="0" borderId="5" xfId="1" applyNumberFormat="1" applyFont="1" applyBorder="1" applyAlignment="1">
      <alignment vertical="top"/>
    </xf>
    <xf numFmtId="4" fontId="0" fillId="0" borderId="6" xfId="0" applyNumberFormat="1" applyBorder="1" applyAlignment="1">
      <alignment vertical="top"/>
    </xf>
    <xf numFmtId="43" fontId="0" fillId="0" borderId="13" xfId="1" applyFont="1" applyBorder="1" applyAlignment="1">
      <alignment vertical="top"/>
    </xf>
    <xf numFmtId="43" fontId="0" fillId="0" borderId="6" xfId="1" applyFont="1" applyBorder="1" applyAlignment="1">
      <alignment vertical="top"/>
    </xf>
    <xf numFmtId="0" fontId="0" fillId="5" borderId="0" xfId="0" applyFill="1"/>
    <xf numFmtId="166" fontId="27" fillId="8" borderId="58" xfId="1" applyNumberFormat="1" applyFont="1" applyFill="1" applyBorder="1" applyAlignment="1">
      <alignment vertical="center" wrapText="1"/>
    </xf>
    <xf numFmtId="166" fontId="27" fillId="8" borderId="53" xfId="1" applyNumberFormat="1" applyFont="1" applyFill="1" applyBorder="1" applyAlignment="1">
      <alignment horizontal="right" vertical="top" wrapText="1"/>
    </xf>
    <xf numFmtId="43" fontId="25" fillId="0" borderId="53" xfId="1" applyFont="1" applyBorder="1" applyAlignment="1">
      <alignment horizontal="center" vertical="top"/>
    </xf>
    <xf numFmtId="166" fontId="28" fillId="8" borderId="53" xfId="1" applyNumberFormat="1" applyFont="1" applyFill="1" applyBorder="1" applyAlignment="1">
      <alignment horizontal="right" vertical="top" wrapText="1"/>
    </xf>
    <xf numFmtId="4" fontId="28" fillId="0" borderId="59" xfId="0" applyNumberFormat="1" applyFont="1" applyBorder="1" applyAlignment="1">
      <alignment vertical="top"/>
    </xf>
    <xf numFmtId="166" fontId="8" fillId="0" borderId="50" xfId="1" applyNumberFormat="1" applyFont="1" applyBorder="1" applyAlignment="1">
      <alignment vertical="top"/>
    </xf>
    <xf numFmtId="43" fontId="20" fillId="0" borderId="9" xfId="1" applyFont="1" applyBorder="1" applyAlignment="1">
      <alignment vertical="top"/>
    </xf>
    <xf numFmtId="43" fontId="0" fillId="5" borderId="0" xfId="1" applyFont="1" applyFill="1"/>
    <xf numFmtId="166" fontId="27" fillId="8" borderId="0" xfId="1" applyNumberFormat="1" applyFont="1" applyFill="1" applyBorder="1" applyAlignment="1">
      <alignment vertical="center" wrapText="1"/>
    </xf>
    <xf numFmtId="166" fontId="27" fillId="8" borderId="0" xfId="1" applyNumberFormat="1" applyFont="1" applyFill="1" applyBorder="1" applyAlignment="1">
      <alignment horizontal="right" vertical="center" wrapText="1"/>
    </xf>
    <xf numFmtId="43" fontId="25" fillId="0" borderId="0" xfId="1" applyFont="1" applyBorder="1" applyAlignment="1">
      <alignment horizontal="center"/>
    </xf>
    <xf numFmtId="166" fontId="28" fillId="8" borderId="0" xfId="1" applyNumberFormat="1" applyFont="1" applyFill="1" applyBorder="1" applyAlignment="1">
      <alignment horizontal="right" vertical="center" wrapText="1"/>
    </xf>
    <xf numFmtId="4" fontId="28" fillId="0" borderId="0" xfId="0" applyNumberFormat="1" applyFont="1" applyBorder="1"/>
    <xf numFmtId="0" fontId="0" fillId="5" borderId="0" xfId="0" applyFill="1" applyBorder="1"/>
    <xf numFmtId="0" fontId="19" fillId="8" borderId="0" xfId="0" applyFont="1" applyFill="1" applyBorder="1" applyAlignment="1">
      <alignment horizontal="right" vertical="center"/>
    </xf>
    <xf numFmtId="166" fontId="0" fillId="0" borderId="0" xfId="1" applyNumberFormat="1" applyFont="1" applyFill="1" applyBorder="1"/>
    <xf numFmtId="0" fontId="0" fillId="0" borderId="0" xfId="0" applyFill="1" applyBorder="1"/>
    <xf numFmtId="43" fontId="29" fillId="0" borderId="0" xfId="0" applyNumberFormat="1" applyFont="1" applyAlignment="1">
      <alignment vertical="center" wrapText="1"/>
    </xf>
    <xf numFmtId="164" fontId="22" fillId="8" borderId="0" xfId="0" applyNumberFormat="1" applyFont="1" applyFill="1" applyBorder="1"/>
    <xf numFmtId="43" fontId="22" fillId="0" borderId="0" xfId="1" applyFont="1" applyBorder="1"/>
    <xf numFmtId="43" fontId="22" fillId="0" borderId="0" xfId="0" applyNumberFormat="1" applyFont="1" applyBorder="1"/>
    <xf numFmtId="172" fontId="0" fillId="0" borderId="0" xfId="1" applyNumberFormat="1" applyFont="1"/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52" xfId="0" applyBorder="1" applyAlignment="1">
      <alignment vertical="top"/>
    </xf>
    <xf numFmtId="43" fontId="0" fillId="0" borderId="11" xfId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9" xfId="0" applyBorder="1" applyAlignment="1">
      <alignment vertical="top"/>
    </xf>
    <xf numFmtId="0" fontId="22" fillId="0" borderId="0" xfId="0" applyFont="1" applyBorder="1"/>
    <xf numFmtId="171" fontId="0" fillId="0" borderId="0" xfId="1" applyNumberFormat="1" applyFont="1" applyBorder="1"/>
    <xf numFmtId="43" fontId="0" fillId="6" borderId="11" xfId="0" applyNumberFormat="1" applyFill="1" applyBorder="1" applyAlignment="1">
      <alignment vertical="top"/>
    </xf>
    <xf numFmtId="0" fontId="0" fillId="0" borderId="5" xfId="0" applyBorder="1"/>
    <xf numFmtId="43" fontId="30" fillId="0" borderId="0" xfId="1" applyFont="1" applyBorder="1"/>
    <xf numFmtId="43" fontId="0" fillId="9" borderId="5" xfId="1" applyFont="1" applyFill="1" applyBorder="1"/>
    <xf numFmtId="0" fontId="19" fillId="0" borderId="0" xfId="0" applyFont="1" applyAlignment="1">
      <alignment horizontal="justify" vertical="center"/>
    </xf>
    <xf numFmtId="43" fontId="0" fillId="0" borderId="0" xfId="0" applyNumberFormat="1" applyAlignment="1">
      <alignment horizontal="left"/>
    </xf>
    <xf numFmtId="2" fontId="0" fillId="0" borderId="0" xfId="0" applyNumberFormat="1" applyAlignment="1">
      <alignment vertical="top"/>
    </xf>
    <xf numFmtId="171" fontId="0" fillId="0" borderId="0" xfId="1" applyNumberFormat="1" applyFont="1"/>
    <xf numFmtId="43" fontId="0" fillId="0" borderId="0" xfId="1" applyNumberFormat="1" applyFont="1"/>
    <xf numFmtId="169" fontId="0" fillId="0" borderId="0" xfId="1" applyNumberFormat="1" applyFont="1"/>
    <xf numFmtId="0" fontId="0" fillId="0" borderId="46" xfId="0" applyBorder="1"/>
    <xf numFmtId="0" fontId="0" fillId="0" borderId="48" xfId="0" applyBorder="1"/>
    <xf numFmtId="0" fontId="0" fillId="8" borderId="47" xfId="0" applyFill="1" applyBorder="1"/>
    <xf numFmtId="167" fontId="0" fillId="0" borderId="52" xfId="0" applyNumberFormat="1" applyBorder="1"/>
    <xf numFmtId="0" fontId="0" fillId="0" borderId="52" xfId="0" applyBorder="1"/>
    <xf numFmtId="43" fontId="0" fillId="8" borderId="11" xfId="1" applyFont="1" applyFill="1" applyBorder="1"/>
    <xf numFmtId="0" fontId="0" fillId="8" borderId="11" xfId="0" applyFill="1" applyBorder="1"/>
    <xf numFmtId="166" fontId="0" fillId="6" borderId="0" xfId="0" applyNumberFormat="1" applyFill="1" applyBorder="1"/>
    <xf numFmtId="0" fontId="0" fillId="0" borderId="49" xfId="0" applyBorder="1"/>
    <xf numFmtId="166" fontId="0" fillId="0" borderId="50" xfId="0" applyNumberFormat="1" applyBorder="1"/>
    <xf numFmtId="0" fontId="0" fillId="8" borderId="9" xfId="0" applyFill="1" applyBorder="1"/>
    <xf numFmtId="167" fontId="0" fillId="0" borderId="47" xfId="0" applyNumberFormat="1" applyBorder="1"/>
    <xf numFmtId="0" fontId="0" fillId="0" borderId="11" xfId="0" applyBorder="1"/>
    <xf numFmtId="166" fontId="0" fillId="0" borderId="11" xfId="0" applyNumberFormat="1" applyBorder="1"/>
    <xf numFmtId="0" fontId="0" fillId="0" borderId="50" xfId="0" applyBorder="1"/>
    <xf numFmtId="0" fontId="0" fillId="0" borderId="9" xfId="0" applyBorder="1"/>
    <xf numFmtId="0" fontId="0" fillId="0" borderId="0" xfId="0" applyAlignment="1">
      <alignment horizontal="center" wrapText="1"/>
    </xf>
    <xf numFmtId="168" fontId="0" fillId="0" borderId="47" xfId="1" applyNumberFormat="1" applyFont="1" applyBorder="1"/>
    <xf numFmtId="166" fontId="0" fillId="0" borderId="11" xfId="1" applyNumberFormat="1" applyFont="1" applyBorder="1"/>
    <xf numFmtId="166" fontId="0" fillId="0" borderId="9" xfId="0" applyNumberFormat="1" applyBorder="1"/>
    <xf numFmtId="41" fontId="0" fillId="0" borderId="0" xfId="0" applyNumberFormat="1"/>
    <xf numFmtId="4" fontId="0" fillId="0" borderId="0" xfId="1" applyNumberFormat="1" applyFont="1"/>
    <xf numFmtId="43" fontId="8" fillId="0" borderId="0" xfId="1" applyFont="1"/>
    <xf numFmtId="43" fontId="8" fillId="0" borderId="0" xfId="0" applyNumberFormat="1" applyFont="1"/>
    <xf numFmtId="43" fontId="9" fillId="0" borderId="0" xfId="1" applyFont="1"/>
    <xf numFmtId="4" fontId="8" fillId="0" borderId="0" xfId="0" applyNumberFormat="1" applyFont="1"/>
    <xf numFmtId="166" fontId="0" fillId="6" borderId="0" xfId="1" applyNumberFormat="1" applyFont="1" applyFill="1"/>
    <xf numFmtId="4" fontId="0" fillId="6" borderId="0" xfId="0" applyNumberFormat="1" applyFill="1"/>
    <xf numFmtId="0" fontId="17" fillId="5" borderId="5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168" fontId="0" fillId="0" borderId="0" xfId="0" applyNumberFormat="1"/>
    <xf numFmtId="43" fontId="0" fillId="6" borderId="0" xfId="1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top"/>
    </xf>
    <xf numFmtId="0" fontId="31" fillId="6" borderId="6" xfId="0" applyFont="1" applyFill="1" applyBorder="1" applyAlignment="1">
      <alignment horizontal="center" vertical="top" wrapText="1"/>
    </xf>
    <xf numFmtId="0" fontId="22" fillId="6" borderId="6" xfId="0" applyFont="1" applyFill="1" applyBorder="1" applyAlignment="1">
      <alignment horizontal="center" vertical="top" wrapText="1"/>
    </xf>
    <xf numFmtId="165" fontId="0" fillId="8" borderId="5" xfId="0" applyNumberFormat="1" applyFill="1" applyBorder="1"/>
    <xf numFmtId="4" fontId="0" fillId="6" borderId="5" xfId="0" applyNumberFormat="1" applyFill="1" applyBorder="1"/>
    <xf numFmtId="4" fontId="0" fillId="8" borderId="0" xfId="0" applyNumberFormat="1" applyFill="1" applyAlignment="1">
      <alignment horizontal="right"/>
    </xf>
    <xf numFmtId="170" fontId="0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0" fontId="31" fillId="6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19" fillId="8" borderId="60" xfId="0" applyFont="1" applyFill="1" applyBorder="1" applyAlignment="1">
      <alignment horizontal="justify" vertical="top"/>
    </xf>
    <xf numFmtId="0" fontId="0" fillId="0" borderId="60" xfId="0" applyBorder="1"/>
    <xf numFmtId="0" fontId="19" fillId="8" borderId="60" xfId="0" applyFont="1" applyFill="1" applyBorder="1" applyAlignment="1">
      <alignment horizontal="justify"/>
    </xf>
    <xf numFmtId="0" fontId="0" fillId="0" borderId="0" xfId="0" applyBorder="1" applyAlignment="1">
      <alignment vertical="top"/>
    </xf>
    <xf numFmtId="166" fontId="0" fillId="0" borderId="0" xfId="0" applyNumberFormat="1" applyBorder="1" applyAlignment="1">
      <alignment horizontal="right"/>
    </xf>
    <xf numFmtId="166" fontId="0" fillId="6" borderId="0" xfId="0" applyNumberFormat="1" applyFill="1" applyBorder="1" applyAlignment="1">
      <alignment vertical="top"/>
    </xf>
    <xf numFmtId="43" fontId="0" fillId="6" borderId="0" xfId="0" applyNumberFormat="1" applyFill="1" applyBorder="1"/>
    <xf numFmtId="43" fontId="0" fillId="0" borderId="0" xfId="1" applyFont="1" applyBorder="1" applyAlignment="1">
      <alignment horizontal="right"/>
    </xf>
    <xf numFmtId="173" fontId="0" fillId="8" borderId="0" xfId="1" applyNumberFormat="1" applyFont="1" applyFill="1" applyBorder="1"/>
    <xf numFmtId="170" fontId="0" fillId="0" borderId="0" xfId="1" applyNumberFormat="1" applyFont="1" applyBorder="1"/>
    <xf numFmtId="164" fontId="0" fillId="0" borderId="5" xfId="0" applyNumberFormat="1" applyBorder="1" applyAlignment="1">
      <alignment vertical="top"/>
    </xf>
    <xf numFmtId="164" fontId="0" fillId="8" borderId="5" xfId="0" applyNumberFormat="1" applyFill="1" applyBorder="1" applyAlignment="1">
      <alignment vertical="top"/>
    </xf>
    <xf numFmtId="164" fontId="0" fillId="8" borderId="6" xfId="0" applyNumberFormat="1" applyFill="1" applyBorder="1" applyAlignment="1">
      <alignment vertical="top"/>
    </xf>
    <xf numFmtId="43" fontId="0" fillId="0" borderId="0" xfId="0" applyNumberFormat="1" applyAlignment="1">
      <alignment vertical="top"/>
    </xf>
    <xf numFmtId="174" fontId="0" fillId="6" borderId="5" xfId="1" applyNumberFormat="1" applyFont="1" applyFill="1" applyBorder="1"/>
    <xf numFmtId="174" fontId="0" fillId="6" borderId="6" xfId="1" applyNumberFormat="1" applyFont="1" applyFill="1" applyBorder="1"/>
    <xf numFmtId="3" fontId="0" fillId="0" borderId="0" xfId="0" applyNumberFormat="1" applyAlignment="1">
      <alignment vertical="top"/>
    </xf>
    <xf numFmtId="3" fontId="0" fillId="0" borderId="0" xfId="0" applyNumberFormat="1" applyBorder="1"/>
    <xf numFmtId="43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vertical="top"/>
    </xf>
    <xf numFmtId="164" fontId="0" fillId="8" borderId="36" xfId="0" applyNumberFormat="1" applyFill="1" applyBorder="1" applyAlignment="1">
      <alignment vertical="top"/>
    </xf>
    <xf numFmtId="164" fontId="0" fillId="0" borderId="36" xfId="0" applyNumberFormat="1" applyBorder="1" applyAlignment="1">
      <alignment vertical="top"/>
    </xf>
    <xf numFmtId="0" fontId="0" fillId="0" borderId="36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66" fontId="14" fillId="10" borderId="37" xfId="1" applyNumberFormat="1" applyFont="1" applyFill="1" applyBorder="1" applyAlignment="1">
      <alignment horizontal="right" vertical="center"/>
    </xf>
    <xf numFmtId="166" fontId="14" fillId="10" borderId="45" xfId="1" applyNumberFormat="1" applyFont="1" applyFill="1" applyBorder="1" applyAlignment="1">
      <alignment horizontal="right" vertical="center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6" fillId="12" borderId="24" xfId="0" applyFont="1" applyFill="1" applyBorder="1" applyAlignment="1">
      <alignment horizontal="center" vertical="center"/>
    </xf>
    <xf numFmtId="166" fontId="13" fillId="0" borderId="27" xfId="1" applyNumberFormat="1" applyFont="1" applyBorder="1" applyAlignment="1">
      <alignment horizontal="right" vertical="center"/>
    </xf>
    <xf numFmtId="166" fontId="13" fillId="0" borderId="28" xfId="1" applyNumberFormat="1" applyFont="1" applyBorder="1" applyAlignment="1">
      <alignment horizontal="right" vertical="center"/>
    </xf>
    <xf numFmtId="166" fontId="14" fillId="10" borderId="29" xfId="1" applyNumberFormat="1" applyFont="1" applyFill="1" applyBorder="1" applyAlignment="1">
      <alignment vertical="center"/>
    </xf>
    <xf numFmtId="166" fontId="14" fillId="10" borderId="30" xfId="1" applyNumberFormat="1" applyFont="1" applyFill="1" applyBorder="1" applyAlignment="1">
      <alignment vertical="center"/>
    </xf>
    <xf numFmtId="166" fontId="16" fillId="8" borderId="31" xfId="1" applyNumberFormat="1" applyFont="1" applyFill="1" applyBorder="1" applyAlignment="1">
      <alignment horizontal="right" vertical="center"/>
    </xf>
    <xf numFmtId="166" fontId="16" fillId="8" borderId="32" xfId="1" applyNumberFormat="1" applyFont="1" applyFill="1" applyBorder="1" applyAlignment="1">
      <alignment horizontal="right" vertical="center"/>
    </xf>
    <xf numFmtId="166" fontId="10" fillId="8" borderId="37" xfId="1" applyNumberFormat="1" applyFont="1" applyFill="1" applyBorder="1" applyAlignment="1">
      <alignment horizontal="right" vertical="top"/>
    </xf>
    <xf numFmtId="166" fontId="10" fillId="8" borderId="43" xfId="1" applyNumberFormat="1" applyFont="1" applyFill="1" applyBorder="1" applyAlignment="1">
      <alignment horizontal="right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418393</xdr:colOff>
      <xdr:row>2</xdr:row>
      <xdr:rowOff>77755</xdr:rowOff>
    </xdr:from>
    <xdr:to>
      <xdr:col>4</xdr:col>
      <xdr:colOff>1206177</xdr:colOff>
      <xdr:row>7</xdr:row>
      <xdr:rowOff>145791</xdr:rowOff>
    </xdr:to>
    <xdr:grpSp>
      <xdr:nvGrpSpPr>
        <xdr:cNvPr id="2" name="Grupo 1"/>
        <xdr:cNvGrpSpPr/>
      </xdr:nvGrpSpPr>
      <xdr:grpSpPr>
        <a:xfrm>
          <a:off x="4066468" y="458755"/>
          <a:ext cx="1997459" cy="1020536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ODUCCION%20POR%20A&#209;O/RELACION%20DE%20RACIONES%20COCIDAS%20Y%20CRUDAS%2030-6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ESIDENCIA/Resumen%20produccion%20para%20presidenc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Resumen%20produccion%20Enero-Junio%202023%20(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Resumen%20produccion%20Enero-Junio%202023%20(1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esktop/Nueva%20carpeta%20(2)/Resumen%20produc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ON RACIONES COCIDAS"/>
      <sheetName val="RACIONES CRUDAS "/>
    </sheetNames>
    <sheetDataSet>
      <sheetData sheetId="0">
        <row r="186">
          <cell r="F186">
            <v>3267717442.4000001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1"/>
      <sheetName val="RELACION COCIDA 2022"/>
      <sheetName val="BENEFICIARIOS JULIO-SEPTIEMBRE "/>
      <sheetName val="DIFERENCIA "/>
    </sheetNames>
    <sheetDataSet>
      <sheetData sheetId="0" refreshError="1"/>
      <sheetData sheetId="1" refreshError="1"/>
      <sheetData sheetId="2" refreshError="1">
        <row r="7">
          <cell r="D7">
            <v>2562056</v>
          </cell>
        </row>
        <row r="73">
          <cell r="N7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5">
          <cell r="L5">
            <v>220442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5">
          <cell r="M5">
            <v>267717</v>
          </cell>
        </row>
        <row r="91">
          <cell r="M91">
            <v>66.05</v>
          </cell>
        </row>
        <row r="94">
          <cell r="M94">
            <v>17101600.650144398</v>
          </cell>
        </row>
        <row r="95">
          <cell r="M95">
            <v>186436032.5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90">
          <cell r="N90">
            <v>2758099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"/>
  <sheetViews>
    <sheetView topLeftCell="A26" workbookViewId="0">
      <selection activeCell="E45" sqref="E45"/>
    </sheetView>
  </sheetViews>
  <sheetFormatPr baseColWidth="10" defaultRowHeight="15"/>
  <cols>
    <col min="1" max="1" width="0.85546875" customWidth="1"/>
    <col min="2" max="2" width="34.28515625" customWidth="1"/>
    <col min="3" max="3" width="17.140625" customWidth="1"/>
    <col min="4" max="4" width="6.140625" customWidth="1"/>
    <col min="5" max="5" width="18.5703125" customWidth="1"/>
    <col min="6" max="6" width="17.85546875" bestFit="1" customWidth="1"/>
    <col min="7" max="7" width="13.7109375" bestFit="1" customWidth="1"/>
    <col min="8" max="8" width="18.28515625" customWidth="1"/>
    <col min="9" max="9" width="13" customWidth="1"/>
    <col min="10" max="10" width="0.140625" hidden="1" customWidth="1"/>
    <col min="11" max="14" width="0" hidden="1" customWidth="1"/>
    <col min="15" max="15" width="10.5703125" customWidth="1"/>
    <col min="16" max="16" width="9.28515625" customWidth="1"/>
    <col min="17" max="17" width="18.7109375" customWidth="1"/>
    <col min="19" max="19" width="15.140625" bestFit="1" customWidth="1"/>
  </cols>
  <sheetData>
    <row r="1" spans="2:19" ht="0.75" customHeight="1" thickBot="1"/>
    <row r="2" spans="2:19" ht="15.75" hidden="1" thickBot="1"/>
    <row r="3" spans="2:19" ht="37.5" customHeight="1" thickBot="1">
      <c r="B3" s="292" t="s">
        <v>0</v>
      </c>
      <c r="C3" s="293"/>
    </row>
    <row r="4" spans="2:19" ht="15.75" thickBot="1">
      <c r="B4" s="294" t="s">
        <v>1</v>
      </c>
      <c r="C4" s="295"/>
      <c r="E4" s="33" t="s">
        <v>55</v>
      </c>
      <c r="F4" s="33" t="s">
        <v>56</v>
      </c>
      <c r="G4" s="33" t="s">
        <v>57</v>
      </c>
      <c r="H4" s="33" t="s">
        <v>66</v>
      </c>
      <c r="I4" s="33" t="s">
        <v>67</v>
      </c>
      <c r="J4" s="31"/>
      <c r="K4" s="31"/>
      <c r="L4" s="31"/>
      <c r="M4" s="31"/>
      <c r="N4" s="31"/>
      <c r="O4" s="31"/>
      <c r="P4" s="34"/>
      <c r="Q4" s="31" t="s">
        <v>58</v>
      </c>
    </row>
    <row r="5" spans="2:19" ht="21.75" customHeight="1" thickBot="1">
      <c r="B5" s="1" t="s">
        <v>2</v>
      </c>
      <c r="C5" s="5">
        <f>+Q5</f>
        <v>804004</v>
      </c>
      <c r="E5" s="30">
        <v>123772</v>
      </c>
      <c r="F5" s="13">
        <v>168620</v>
      </c>
      <c r="G5" s="13">
        <v>234497</v>
      </c>
      <c r="H5" s="13">
        <v>143675</v>
      </c>
      <c r="I5" s="13">
        <v>133440</v>
      </c>
      <c r="J5" s="13"/>
      <c r="K5" s="13"/>
      <c r="L5" s="13"/>
      <c r="M5" s="13"/>
      <c r="N5" s="13"/>
      <c r="O5" s="13"/>
      <c r="P5" s="14"/>
      <c r="Q5" s="29">
        <f>+E5+F5+G5+H5+I5+J5+K5+L5+M5+N5+O5+P5</f>
        <v>804004</v>
      </c>
    </row>
    <row r="6" spans="2:19" ht="15.75" thickBot="1">
      <c r="B6" s="2" t="s">
        <v>3</v>
      </c>
      <c r="C6" s="3"/>
      <c r="E6" s="35">
        <f t="shared" ref="E6:P6" si="0">+E5</f>
        <v>123772</v>
      </c>
      <c r="F6" s="36">
        <f t="shared" si="0"/>
        <v>168620</v>
      </c>
      <c r="G6" s="36">
        <f t="shared" si="0"/>
        <v>234497</v>
      </c>
      <c r="H6" s="36">
        <f t="shared" si="0"/>
        <v>143675</v>
      </c>
      <c r="I6" s="36">
        <f t="shared" si="0"/>
        <v>133440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2">
        <f>+E6+F6+G6+H6+I6+J6+K6+L6+M6+N6+O6+P6</f>
        <v>804004</v>
      </c>
      <c r="R6" s="9"/>
      <c r="S6" s="27"/>
    </row>
    <row r="7" spans="2:19" ht="24" customHeight="1" thickBot="1">
      <c r="B7" s="4" t="s">
        <v>4</v>
      </c>
      <c r="C7" s="5">
        <f>+Q7</f>
        <v>297345</v>
      </c>
      <c r="E7" s="13">
        <v>82860</v>
      </c>
      <c r="F7" s="13">
        <v>27430</v>
      </c>
      <c r="G7" s="13">
        <v>46479</v>
      </c>
      <c r="H7" s="13">
        <v>72694</v>
      </c>
      <c r="I7" s="13">
        <v>67882</v>
      </c>
      <c r="J7" s="13"/>
      <c r="K7" s="13"/>
      <c r="L7" s="13"/>
      <c r="M7" s="13"/>
      <c r="N7" s="13"/>
      <c r="O7" s="13"/>
      <c r="P7" s="13"/>
      <c r="Q7" s="29">
        <f>+E7+F7+G7+H7+I7+J7+K7+L7+M7+N7+O7+P7</f>
        <v>297345</v>
      </c>
    </row>
    <row r="8" spans="2:19" ht="22.5" customHeight="1" thickBot="1">
      <c r="B8" s="6" t="s">
        <v>5</v>
      </c>
      <c r="C8" s="5">
        <f t="shared" ref="C8:C58" si="1">+Q8</f>
        <v>87680</v>
      </c>
      <c r="E8" s="13">
        <v>29653</v>
      </c>
      <c r="F8" s="13">
        <v>11833</v>
      </c>
      <c r="G8" s="13">
        <v>14896</v>
      </c>
      <c r="H8" s="13">
        <v>10330</v>
      </c>
      <c r="I8" s="13">
        <v>20968</v>
      </c>
      <c r="J8" s="13"/>
      <c r="K8" s="13"/>
      <c r="L8" s="13"/>
      <c r="M8" s="13"/>
      <c r="N8" s="13"/>
      <c r="O8" s="13"/>
      <c r="P8" s="13"/>
      <c r="Q8" s="29">
        <f t="shared" ref="Q8:Q57" si="2">+E8+F8+G8+H8+I8+J8+K8+L8+M8+N8+O8+P8</f>
        <v>87680</v>
      </c>
    </row>
    <row r="9" spans="2:19" ht="24.75" customHeight="1" thickBot="1">
      <c r="B9" s="4" t="s">
        <v>6</v>
      </c>
      <c r="C9" s="5">
        <f t="shared" si="1"/>
        <v>177693</v>
      </c>
      <c r="E9" s="13">
        <v>44327</v>
      </c>
      <c r="F9" s="13">
        <v>22250</v>
      </c>
      <c r="G9" s="13">
        <v>31615</v>
      </c>
      <c r="H9" s="13">
        <v>37894</v>
      </c>
      <c r="I9" s="13">
        <v>41607</v>
      </c>
      <c r="J9" s="13"/>
      <c r="K9" s="13"/>
      <c r="L9" s="13"/>
      <c r="M9" s="13"/>
      <c r="N9" s="13"/>
      <c r="O9" s="13"/>
      <c r="P9" s="13"/>
      <c r="Q9" s="29">
        <f t="shared" si="2"/>
        <v>177693</v>
      </c>
    </row>
    <row r="10" spans="2:19" ht="21" customHeight="1" thickBot="1">
      <c r="B10" s="6" t="s">
        <v>7</v>
      </c>
      <c r="C10" s="5">
        <f t="shared" si="1"/>
        <v>93654</v>
      </c>
      <c r="E10" s="13">
        <v>23382</v>
      </c>
      <c r="F10" s="13">
        <v>10118</v>
      </c>
      <c r="G10" s="13">
        <v>15400</v>
      </c>
      <c r="H10" s="13">
        <v>22601</v>
      </c>
      <c r="I10" s="13">
        <v>22153</v>
      </c>
      <c r="J10" s="13"/>
      <c r="K10" s="13"/>
      <c r="L10" s="13"/>
      <c r="M10" s="13"/>
      <c r="N10" s="13"/>
      <c r="O10" s="13"/>
      <c r="P10" s="13"/>
      <c r="Q10" s="29">
        <f t="shared" si="2"/>
        <v>93654</v>
      </c>
    </row>
    <row r="11" spans="2:19" ht="17.25" customHeight="1" thickBot="1">
      <c r="B11" s="4" t="s">
        <v>8</v>
      </c>
      <c r="C11" s="5">
        <f t="shared" si="1"/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9">
        <f t="shared" si="2"/>
        <v>0</v>
      </c>
    </row>
    <row r="12" spans="2:19" ht="21" customHeight="1" thickBot="1">
      <c r="B12" s="6" t="s">
        <v>9</v>
      </c>
      <c r="C12" s="5">
        <f t="shared" si="1"/>
        <v>84469</v>
      </c>
      <c r="E12" s="13">
        <v>30249</v>
      </c>
      <c r="F12" s="13">
        <v>8378</v>
      </c>
      <c r="G12" s="13">
        <v>11543</v>
      </c>
      <c r="H12" s="13">
        <v>16017</v>
      </c>
      <c r="I12" s="13">
        <v>18282</v>
      </c>
      <c r="J12" s="13"/>
      <c r="K12" s="13"/>
      <c r="L12" s="13"/>
      <c r="M12" s="13"/>
      <c r="N12" s="13"/>
      <c r="O12" s="13"/>
      <c r="P12" s="13"/>
      <c r="Q12" s="29">
        <f t="shared" si="2"/>
        <v>84469</v>
      </c>
    </row>
    <row r="13" spans="2:19" ht="22.5" customHeight="1" thickBot="1">
      <c r="B13" s="4" t="s">
        <v>10</v>
      </c>
      <c r="C13" s="5">
        <f t="shared" si="1"/>
        <v>113645</v>
      </c>
      <c r="E13" s="13">
        <v>19373</v>
      </c>
      <c r="F13" s="13">
        <v>16645</v>
      </c>
      <c r="G13" s="13">
        <v>23558</v>
      </c>
      <c r="H13" s="13">
        <v>29353</v>
      </c>
      <c r="I13" s="13">
        <v>24716</v>
      </c>
      <c r="J13" s="13"/>
      <c r="K13" s="13"/>
      <c r="L13" s="13"/>
      <c r="M13" s="13"/>
      <c r="N13" s="13"/>
      <c r="O13" s="13"/>
      <c r="P13" s="13"/>
      <c r="Q13" s="29">
        <f t="shared" si="2"/>
        <v>113645</v>
      </c>
    </row>
    <row r="14" spans="2:19" ht="19.5" customHeight="1" thickBot="1">
      <c r="B14" s="6" t="s">
        <v>11</v>
      </c>
      <c r="C14" s="5">
        <f t="shared" si="1"/>
        <v>126250</v>
      </c>
      <c r="E14" s="13">
        <v>35510</v>
      </c>
      <c r="F14" s="13">
        <v>27461</v>
      </c>
      <c r="G14" s="13">
        <v>24149</v>
      </c>
      <c r="H14" s="13">
        <v>19963</v>
      </c>
      <c r="I14" s="13">
        <v>19167</v>
      </c>
      <c r="J14" s="13"/>
      <c r="K14" s="13"/>
      <c r="L14" s="13"/>
      <c r="M14" s="13"/>
      <c r="N14" s="13"/>
      <c r="O14" s="13"/>
      <c r="P14" s="13"/>
      <c r="Q14" s="29">
        <f t="shared" si="2"/>
        <v>126250</v>
      </c>
    </row>
    <row r="15" spans="2:19" ht="15.75" thickBot="1">
      <c r="B15" s="4" t="s">
        <v>16</v>
      </c>
      <c r="C15" s="5">
        <f>+Q15</f>
        <v>56741</v>
      </c>
      <c r="E15" s="13">
        <v>18450</v>
      </c>
      <c r="F15" s="13">
        <v>8909</v>
      </c>
      <c r="G15" s="13">
        <v>10575</v>
      </c>
      <c r="H15" s="13">
        <v>10577</v>
      </c>
      <c r="I15" s="13">
        <v>8230</v>
      </c>
      <c r="J15" s="13"/>
      <c r="K15" s="13"/>
      <c r="L15" s="13"/>
      <c r="M15" s="13"/>
      <c r="N15" s="13"/>
      <c r="O15" s="13"/>
      <c r="P15" s="13"/>
      <c r="Q15" s="29">
        <f>+E15+F15+G15+H15+I15+J15+K15+L15+M15+N15+O15+P15</f>
        <v>56741</v>
      </c>
    </row>
    <row r="16" spans="2:19" ht="14.25" customHeight="1" thickBot="1">
      <c r="B16" s="6" t="s">
        <v>17</v>
      </c>
      <c r="C16" s="5">
        <f>+Q16</f>
        <v>55303</v>
      </c>
      <c r="E16" s="13">
        <v>15370</v>
      </c>
      <c r="F16" s="13">
        <v>9444</v>
      </c>
      <c r="G16" s="13">
        <v>11297</v>
      </c>
      <c r="H16" s="13">
        <v>8739</v>
      </c>
      <c r="I16" s="13">
        <v>10453</v>
      </c>
      <c r="J16" s="13"/>
      <c r="K16" s="13"/>
      <c r="L16" s="13"/>
      <c r="M16" s="13"/>
      <c r="N16" s="13"/>
      <c r="O16" s="13"/>
      <c r="P16" s="13"/>
      <c r="Q16" s="29">
        <f>+E16+F16+G16+H16+I16+J16+K16+L16+M16+N16+O16+P16</f>
        <v>55303</v>
      </c>
    </row>
    <row r="17" spans="2:17" ht="15.75" thickBot="1">
      <c r="B17" s="4" t="s">
        <v>14</v>
      </c>
      <c r="C17" s="5">
        <f>+Q17</f>
        <v>34091</v>
      </c>
      <c r="E17" s="13">
        <v>8164</v>
      </c>
      <c r="F17" s="13">
        <v>5612</v>
      </c>
      <c r="G17" s="13">
        <v>6925</v>
      </c>
      <c r="H17" s="13">
        <v>7433</v>
      </c>
      <c r="I17" s="13">
        <v>5957</v>
      </c>
      <c r="J17" s="13"/>
      <c r="K17" s="13"/>
      <c r="L17" s="13"/>
      <c r="M17" s="13"/>
      <c r="N17" s="13"/>
      <c r="O17" s="13"/>
      <c r="P17" s="13"/>
      <c r="Q17" s="29">
        <f>+E17+F17+G17+H17+I17+J17+K17+L17+M17+N17+O17+P17</f>
        <v>34091</v>
      </c>
    </row>
    <row r="18" spans="2:17" ht="15.75" thickBot="1">
      <c r="B18" s="4" t="s">
        <v>12</v>
      </c>
      <c r="C18" s="5">
        <f t="shared" si="1"/>
        <v>35449</v>
      </c>
      <c r="E18" s="13">
        <v>8781</v>
      </c>
      <c r="F18" s="13">
        <v>6535</v>
      </c>
      <c r="G18" s="13">
        <v>7153</v>
      </c>
      <c r="H18" s="13">
        <v>7084</v>
      </c>
      <c r="I18" s="13">
        <v>5896</v>
      </c>
      <c r="J18" s="13"/>
      <c r="K18" s="13"/>
      <c r="L18" s="13"/>
      <c r="M18" s="13"/>
      <c r="N18" s="13"/>
      <c r="O18" s="13"/>
      <c r="P18" s="13"/>
      <c r="Q18" s="29">
        <f t="shared" si="2"/>
        <v>35449</v>
      </c>
    </row>
    <row r="19" spans="2:17" ht="16.5" customHeight="1" thickBot="1">
      <c r="B19" s="6" t="s">
        <v>13</v>
      </c>
      <c r="C19" s="5">
        <f t="shared" si="1"/>
        <v>40343</v>
      </c>
      <c r="E19" s="13">
        <v>11415</v>
      </c>
      <c r="F19" s="13">
        <v>9274</v>
      </c>
      <c r="G19" s="13">
        <v>7147</v>
      </c>
      <c r="H19" s="13">
        <v>6797</v>
      </c>
      <c r="I19" s="13">
        <v>5710</v>
      </c>
      <c r="J19" s="13"/>
      <c r="K19" s="13"/>
      <c r="L19" s="13"/>
      <c r="M19" s="13"/>
      <c r="N19" s="13"/>
      <c r="O19" s="13"/>
      <c r="P19" s="13"/>
      <c r="Q19" s="29">
        <f t="shared" si="2"/>
        <v>40343</v>
      </c>
    </row>
    <row r="20" spans="2:17" ht="15.75" thickBot="1">
      <c r="B20" s="6" t="s">
        <v>15</v>
      </c>
      <c r="C20" s="5">
        <f t="shared" si="1"/>
        <v>77314</v>
      </c>
      <c r="E20" s="13">
        <v>24273</v>
      </c>
      <c r="F20" s="13">
        <v>14175</v>
      </c>
      <c r="G20" s="13">
        <v>14093</v>
      </c>
      <c r="H20" s="13">
        <v>12290</v>
      </c>
      <c r="I20" s="13">
        <v>12483</v>
      </c>
      <c r="J20" s="13"/>
      <c r="K20" s="13"/>
      <c r="L20" s="13"/>
      <c r="M20" s="13"/>
      <c r="N20" s="13"/>
      <c r="O20" s="13"/>
      <c r="P20" s="13"/>
      <c r="Q20" s="29">
        <f t="shared" si="2"/>
        <v>77314</v>
      </c>
    </row>
    <row r="21" spans="2:17" ht="15.75" thickBot="1">
      <c r="B21" s="4" t="s">
        <v>18</v>
      </c>
      <c r="C21" s="5">
        <f t="shared" si="1"/>
        <v>31925</v>
      </c>
      <c r="E21" s="13">
        <v>9408</v>
      </c>
      <c r="F21" s="13">
        <v>4069</v>
      </c>
      <c r="G21" s="13">
        <v>5891</v>
      </c>
      <c r="H21" s="13">
        <v>6600</v>
      </c>
      <c r="I21" s="13">
        <v>5957</v>
      </c>
      <c r="J21" s="13"/>
      <c r="K21" s="13"/>
      <c r="L21" s="13"/>
      <c r="M21" s="13"/>
      <c r="N21" s="13"/>
      <c r="O21" s="13"/>
      <c r="P21" s="13"/>
      <c r="Q21" s="29">
        <f t="shared" si="2"/>
        <v>31925</v>
      </c>
    </row>
    <row r="22" spans="2:17" ht="15.75" thickBot="1">
      <c r="B22" s="4"/>
      <c r="C22" s="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9"/>
    </row>
    <row r="23" spans="2:17" ht="18.75" customHeight="1" thickBot="1">
      <c r="B23" s="6" t="s">
        <v>19</v>
      </c>
      <c r="C23" s="5">
        <f t="shared" si="1"/>
        <v>53336</v>
      </c>
      <c r="E23" s="13">
        <v>16982</v>
      </c>
      <c r="F23" s="13">
        <v>7537</v>
      </c>
      <c r="G23" s="13">
        <v>10165</v>
      </c>
      <c r="H23" s="13">
        <v>9971</v>
      </c>
      <c r="I23" s="13">
        <v>8681</v>
      </c>
      <c r="J23" s="13"/>
      <c r="K23" s="13"/>
      <c r="L23" s="13"/>
      <c r="M23" s="13"/>
      <c r="N23" s="13"/>
      <c r="O23" s="13"/>
      <c r="P23" s="13"/>
      <c r="Q23" s="29">
        <f t="shared" si="2"/>
        <v>53336</v>
      </c>
    </row>
    <row r="24" spans="2:17" ht="20.25" customHeight="1" thickBot="1">
      <c r="B24" s="4" t="s">
        <v>20</v>
      </c>
      <c r="C24" s="5">
        <f t="shared" si="1"/>
        <v>84630</v>
      </c>
      <c r="E24" s="13">
        <v>21948</v>
      </c>
      <c r="F24" s="13">
        <v>19852</v>
      </c>
      <c r="G24" s="13">
        <v>18230</v>
      </c>
      <c r="H24" s="13">
        <v>13096</v>
      </c>
      <c r="I24" s="13">
        <v>11504</v>
      </c>
      <c r="J24" s="13"/>
      <c r="K24" s="13"/>
      <c r="L24" s="13"/>
      <c r="M24" s="13"/>
      <c r="N24" s="13"/>
      <c r="O24" s="13"/>
      <c r="P24" s="13"/>
      <c r="Q24" s="29">
        <f t="shared" si="2"/>
        <v>84630</v>
      </c>
    </row>
    <row r="25" spans="2:17" ht="15" customHeight="1" thickBot="1">
      <c r="B25" s="6" t="s">
        <v>21</v>
      </c>
      <c r="C25" s="5">
        <f t="shared" si="1"/>
        <v>38768</v>
      </c>
      <c r="E25" s="13">
        <v>7337</v>
      </c>
      <c r="F25" s="13">
        <v>7270</v>
      </c>
      <c r="G25" s="13">
        <v>8342</v>
      </c>
      <c r="H25" s="13">
        <v>8120</v>
      </c>
      <c r="I25" s="13">
        <v>7699</v>
      </c>
      <c r="J25" s="13"/>
      <c r="K25" s="13"/>
      <c r="L25" s="13"/>
      <c r="M25" s="13"/>
      <c r="N25" s="13"/>
      <c r="O25" s="13"/>
      <c r="P25" s="13"/>
      <c r="Q25" s="29">
        <f t="shared" si="2"/>
        <v>38768</v>
      </c>
    </row>
    <row r="26" spans="2:17" ht="15.75" thickBot="1">
      <c r="B26" s="4" t="s">
        <v>22</v>
      </c>
      <c r="C26" s="5">
        <f t="shared" si="1"/>
        <v>103633</v>
      </c>
      <c r="E26" s="13">
        <v>17449</v>
      </c>
      <c r="F26" s="13">
        <v>15490</v>
      </c>
      <c r="G26" s="13">
        <v>20795</v>
      </c>
      <c r="H26" s="13">
        <v>24880</v>
      </c>
      <c r="I26" s="13">
        <v>25019</v>
      </c>
      <c r="J26" s="13"/>
      <c r="K26" s="13"/>
      <c r="L26" s="13"/>
      <c r="M26" s="13"/>
      <c r="N26" s="13"/>
      <c r="O26" s="13"/>
      <c r="P26" s="13"/>
      <c r="Q26" s="29">
        <f t="shared" si="2"/>
        <v>103633</v>
      </c>
    </row>
    <row r="27" spans="2:17" ht="15" customHeight="1" thickBot="1">
      <c r="B27" s="17" t="s">
        <v>62</v>
      </c>
      <c r="C27" s="5">
        <f t="shared" si="1"/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9">
        <f t="shared" si="2"/>
        <v>0</v>
      </c>
    </row>
    <row r="28" spans="2:17" ht="15" customHeight="1" thickBot="1">
      <c r="B28" s="4" t="s">
        <v>63</v>
      </c>
      <c r="C28" s="5">
        <f t="shared" si="1"/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9">
        <f t="shared" si="2"/>
        <v>0</v>
      </c>
    </row>
    <row r="29" spans="2:17" ht="15" customHeight="1" thickBot="1">
      <c r="B29" s="18" t="s">
        <v>64</v>
      </c>
      <c r="C29" s="5">
        <f t="shared" si="1"/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9">
        <f t="shared" si="2"/>
        <v>0</v>
      </c>
    </row>
    <row r="30" spans="2:17" ht="14.25" customHeight="1" thickBot="1">
      <c r="B30" s="4" t="s">
        <v>65</v>
      </c>
      <c r="C30" s="5">
        <f t="shared" si="1"/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9">
        <f t="shared" si="2"/>
        <v>0</v>
      </c>
    </row>
    <row r="31" spans="2:17" ht="15" customHeight="1" thickBot="1">
      <c r="B31" s="6" t="s">
        <v>23</v>
      </c>
      <c r="C31" s="5">
        <f t="shared" si="1"/>
        <v>66106</v>
      </c>
      <c r="E31" s="13">
        <v>20430</v>
      </c>
      <c r="F31" s="13">
        <v>14930</v>
      </c>
      <c r="G31" s="13">
        <v>11071</v>
      </c>
      <c r="H31" s="13">
        <v>10413</v>
      </c>
      <c r="I31" s="13">
        <v>9262</v>
      </c>
      <c r="J31" s="13"/>
      <c r="K31" s="13"/>
      <c r="L31" s="13"/>
      <c r="M31" s="13"/>
      <c r="N31" s="13"/>
      <c r="O31" s="13"/>
      <c r="P31" s="13"/>
      <c r="Q31" s="29">
        <f t="shared" si="2"/>
        <v>66106</v>
      </c>
    </row>
    <row r="32" spans="2:17" ht="14.25" customHeight="1" thickBot="1">
      <c r="B32" s="11" t="s">
        <v>24</v>
      </c>
      <c r="C32" s="5">
        <f t="shared" si="1"/>
        <v>47216</v>
      </c>
      <c r="E32" s="13">
        <v>11408</v>
      </c>
      <c r="F32" s="13">
        <v>10649</v>
      </c>
      <c r="G32" s="13">
        <v>9341</v>
      </c>
      <c r="H32" s="13">
        <v>8574</v>
      </c>
      <c r="I32" s="13">
        <v>7244</v>
      </c>
      <c r="J32" s="13"/>
      <c r="K32" s="13"/>
      <c r="L32" s="13"/>
      <c r="M32" s="13"/>
      <c r="N32" s="13"/>
      <c r="O32" s="13"/>
      <c r="P32" s="13"/>
      <c r="Q32" s="29">
        <f t="shared" si="2"/>
        <v>47216</v>
      </c>
    </row>
    <row r="33" spans="2:17" ht="18" customHeight="1" thickBot="1">
      <c r="B33" s="12" t="s">
        <v>60</v>
      </c>
      <c r="C33" s="5">
        <f t="shared" si="1"/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9">
        <f t="shared" si="2"/>
        <v>0</v>
      </c>
    </row>
    <row r="34" spans="2:17" ht="15" customHeight="1" thickBot="1">
      <c r="B34" s="4" t="s">
        <v>61</v>
      </c>
      <c r="C34" s="5">
        <f t="shared" si="1"/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9">
        <f t="shared" si="2"/>
        <v>0</v>
      </c>
    </row>
    <row r="35" spans="2:17" ht="16.5" customHeight="1" thickBot="1">
      <c r="B35" s="6" t="s">
        <v>25</v>
      </c>
      <c r="C35" s="5">
        <f t="shared" si="1"/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9">
        <f t="shared" si="2"/>
        <v>0</v>
      </c>
    </row>
    <row r="36" spans="2:17" ht="15.75" thickBot="1">
      <c r="B36" s="4" t="s">
        <v>26</v>
      </c>
      <c r="C36" s="5">
        <f t="shared" si="1"/>
        <v>49006</v>
      </c>
      <c r="E36" s="13">
        <v>11457</v>
      </c>
      <c r="F36" s="13">
        <v>11104</v>
      </c>
      <c r="G36" s="13">
        <v>10104</v>
      </c>
      <c r="H36" s="13">
        <v>8950</v>
      </c>
      <c r="I36" s="13">
        <v>7391</v>
      </c>
      <c r="J36" s="13"/>
      <c r="K36" s="13"/>
      <c r="L36" s="13"/>
      <c r="M36" s="13"/>
      <c r="N36" s="13"/>
      <c r="O36" s="13"/>
      <c r="P36" s="13"/>
      <c r="Q36" s="29">
        <f t="shared" si="2"/>
        <v>49006</v>
      </c>
    </row>
    <row r="37" spans="2:17" ht="15.75" thickBot="1">
      <c r="B37" s="1" t="s">
        <v>27</v>
      </c>
      <c r="C37" s="5">
        <f t="shared" si="1"/>
        <v>43685</v>
      </c>
      <c r="E37" s="13">
        <v>16645</v>
      </c>
      <c r="F37" s="13">
        <v>6715</v>
      </c>
      <c r="G37" s="13">
        <v>7627</v>
      </c>
      <c r="H37" s="13">
        <v>7168</v>
      </c>
      <c r="I37" s="13">
        <v>5530</v>
      </c>
      <c r="J37" s="13"/>
      <c r="K37" s="13"/>
      <c r="L37" s="13"/>
      <c r="M37" s="13"/>
      <c r="N37" s="13"/>
      <c r="O37" s="13"/>
      <c r="P37" s="13"/>
      <c r="Q37" s="29">
        <f t="shared" si="2"/>
        <v>43685</v>
      </c>
    </row>
    <row r="38" spans="2:17" ht="15.75" thickBot="1">
      <c r="B38" s="4" t="s">
        <v>28</v>
      </c>
      <c r="C38" s="5">
        <f t="shared" si="1"/>
        <v>66322</v>
      </c>
      <c r="E38" s="13">
        <v>11250</v>
      </c>
      <c r="F38" s="13">
        <v>8056</v>
      </c>
      <c r="G38" s="13">
        <v>12731</v>
      </c>
      <c r="H38" s="13">
        <v>17210</v>
      </c>
      <c r="I38" s="13">
        <v>17075</v>
      </c>
      <c r="J38" s="13"/>
      <c r="K38" s="13"/>
      <c r="L38" s="13"/>
      <c r="M38" s="13"/>
      <c r="N38" s="13"/>
      <c r="O38" s="13"/>
      <c r="P38" s="13"/>
      <c r="Q38" s="29">
        <f t="shared" si="2"/>
        <v>66322</v>
      </c>
    </row>
    <row r="39" spans="2:17" ht="15.75" thickBot="1">
      <c r="B39" s="1" t="s">
        <v>29</v>
      </c>
      <c r="C39" s="5">
        <f t="shared" si="1"/>
        <v>10221</v>
      </c>
      <c r="E39" s="13"/>
      <c r="F39" s="13">
        <v>2100</v>
      </c>
      <c r="G39" s="13">
        <v>2464</v>
      </c>
      <c r="H39" s="13">
        <v>2997</v>
      </c>
      <c r="I39" s="13">
        <v>2660</v>
      </c>
      <c r="J39" s="13"/>
      <c r="K39" s="13"/>
      <c r="L39" s="13"/>
      <c r="M39" s="13"/>
      <c r="N39" s="13"/>
      <c r="O39" s="13"/>
      <c r="P39" s="13"/>
      <c r="Q39" s="29">
        <f t="shared" si="2"/>
        <v>10221</v>
      </c>
    </row>
    <row r="40" spans="2:17" ht="15.75" thickBot="1">
      <c r="B40" s="4" t="s">
        <v>30</v>
      </c>
      <c r="C40" s="5">
        <f t="shared" si="1"/>
        <v>2652</v>
      </c>
      <c r="E40" s="13"/>
      <c r="F40" s="13">
        <v>1260</v>
      </c>
      <c r="G40" s="13">
        <v>1392</v>
      </c>
      <c r="H40" s="13"/>
      <c r="I40" s="13"/>
      <c r="J40" s="13"/>
      <c r="K40" s="13"/>
      <c r="L40" s="13"/>
      <c r="M40" s="13"/>
      <c r="N40" s="13"/>
      <c r="O40" s="13"/>
      <c r="P40" s="13"/>
      <c r="Q40" s="29">
        <f t="shared" si="2"/>
        <v>2652</v>
      </c>
    </row>
    <row r="41" spans="2:17" ht="14.25" customHeight="1" thickBot="1">
      <c r="B41" s="6" t="s">
        <v>31</v>
      </c>
      <c r="C41" s="5">
        <f t="shared" si="1"/>
        <v>66635</v>
      </c>
      <c r="E41" s="13">
        <v>17171</v>
      </c>
      <c r="F41" s="13">
        <v>11153</v>
      </c>
      <c r="G41" s="13">
        <v>12515</v>
      </c>
      <c r="H41" s="13">
        <v>13124</v>
      </c>
      <c r="I41" s="13">
        <v>12672</v>
      </c>
      <c r="J41" s="13"/>
      <c r="K41" s="13"/>
      <c r="L41" s="13"/>
      <c r="M41" s="13"/>
      <c r="N41" s="13"/>
      <c r="O41" s="13"/>
      <c r="P41" s="13"/>
      <c r="Q41" s="29">
        <f t="shared" si="2"/>
        <v>66635</v>
      </c>
    </row>
    <row r="42" spans="2:17" ht="15.75" thickBot="1">
      <c r="B42" s="4" t="s">
        <v>32</v>
      </c>
      <c r="C42" s="5">
        <f t="shared" si="1"/>
        <v>48736</v>
      </c>
      <c r="E42" s="13">
        <v>7044</v>
      </c>
      <c r="F42" s="13">
        <v>9004</v>
      </c>
      <c r="G42" s="13">
        <v>10884</v>
      </c>
      <c r="H42" s="13">
        <v>11237</v>
      </c>
      <c r="I42" s="13">
        <v>10567</v>
      </c>
      <c r="J42" s="13"/>
      <c r="K42" s="13"/>
      <c r="L42" s="13"/>
      <c r="M42" s="13"/>
      <c r="N42" s="13"/>
      <c r="O42" s="13"/>
      <c r="P42" s="13"/>
      <c r="Q42" s="29">
        <f t="shared" si="2"/>
        <v>48736</v>
      </c>
    </row>
    <row r="43" spans="2:17" ht="18" customHeight="1" thickBot="1">
      <c r="B43" s="6" t="s">
        <v>33</v>
      </c>
      <c r="C43" s="5">
        <f t="shared" si="1"/>
        <v>59461</v>
      </c>
      <c r="E43" s="13">
        <v>16664</v>
      </c>
      <c r="F43" s="13">
        <v>10750</v>
      </c>
      <c r="G43" s="13">
        <v>12100</v>
      </c>
      <c r="H43" s="13">
        <v>10450</v>
      </c>
      <c r="I43" s="13">
        <v>9497</v>
      </c>
      <c r="J43" s="13"/>
      <c r="K43" s="13"/>
      <c r="L43" s="13"/>
      <c r="M43" s="13"/>
      <c r="N43" s="13"/>
      <c r="O43" s="13"/>
      <c r="P43" s="13"/>
      <c r="Q43" s="29">
        <f t="shared" si="2"/>
        <v>59461</v>
      </c>
    </row>
    <row r="44" spans="2:17" ht="15.75" thickBot="1">
      <c r="B44" s="4" t="s">
        <v>34</v>
      </c>
      <c r="C44" s="5">
        <f t="shared" si="1"/>
        <v>30308</v>
      </c>
      <c r="E44" s="13">
        <v>7306</v>
      </c>
      <c r="F44" s="13">
        <v>5386</v>
      </c>
      <c r="G44" s="13">
        <v>5907</v>
      </c>
      <c r="H44" s="13">
        <v>6652</v>
      </c>
      <c r="I44" s="13">
        <v>5057</v>
      </c>
      <c r="J44" s="13"/>
      <c r="K44" s="13"/>
      <c r="L44" s="13"/>
      <c r="M44" s="13"/>
      <c r="N44" s="13"/>
      <c r="O44" s="13"/>
      <c r="P44" s="13"/>
      <c r="Q44" s="29">
        <f t="shared" si="2"/>
        <v>30308</v>
      </c>
    </row>
    <row r="45" spans="2:17" ht="21" customHeight="1" thickBot="1">
      <c r="B45" s="6" t="s">
        <v>68</v>
      </c>
      <c r="C45" s="5">
        <f t="shared" si="1"/>
        <v>47407</v>
      </c>
      <c r="E45" s="13">
        <v>8758</v>
      </c>
      <c r="F45" s="13">
        <v>8588</v>
      </c>
      <c r="G45" s="13">
        <v>9348</v>
      </c>
      <c r="H45" s="13">
        <v>11598</v>
      </c>
      <c r="I45" s="13">
        <v>9115</v>
      </c>
      <c r="J45" s="13"/>
      <c r="K45" s="13"/>
      <c r="L45" s="13"/>
      <c r="M45" s="13"/>
      <c r="N45" s="13"/>
      <c r="O45" s="13"/>
      <c r="P45" s="13"/>
      <c r="Q45" s="29">
        <f t="shared" si="2"/>
        <v>47407</v>
      </c>
    </row>
    <row r="46" spans="2:17" ht="16.5" customHeight="1" thickBot="1">
      <c r="B46" s="4" t="s">
        <v>35</v>
      </c>
      <c r="C46" s="5">
        <f t="shared" si="1"/>
        <v>44941</v>
      </c>
      <c r="E46" s="13">
        <v>10772</v>
      </c>
      <c r="F46" s="13">
        <v>7686</v>
      </c>
      <c r="G46" s="13">
        <v>9547</v>
      </c>
      <c r="H46" s="13">
        <v>9267</v>
      </c>
      <c r="I46" s="13">
        <v>7669</v>
      </c>
      <c r="J46" s="13"/>
      <c r="K46" s="13"/>
      <c r="L46" s="13"/>
      <c r="M46" s="13"/>
      <c r="N46" s="13"/>
      <c r="O46" s="13"/>
      <c r="P46" s="13"/>
      <c r="Q46" s="29">
        <f t="shared" si="2"/>
        <v>44941</v>
      </c>
    </row>
    <row r="47" spans="2:17" ht="15.75" thickBot="1">
      <c r="B47" s="6" t="s">
        <v>36</v>
      </c>
      <c r="C47" s="5">
        <f t="shared" si="1"/>
        <v>38967</v>
      </c>
      <c r="E47" s="13">
        <v>8477</v>
      </c>
      <c r="F47" s="13">
        <v>8079</v>
      </c>
      <c r="G47" s="13">
        <v>8527</v>
      </c>
      <c r="H47" s="13">
        <v>7718</v>
      </c>
      <c r="I47" s="13">
        <v>6166</v>
      </c>
      <c r="J47" s="13"/>
      <c r="K47" s="13"/>
      <c r="L47" s="13"/>
      <c r="M47" s="13"/>
      <c r="N47" s="13"/>
      <c r="O47" s="13"/>
      <c r="P47" s="13"/>
      <c r="Q47" s="29">
        <f t="shared" si="2"/>
        <v>38967</v>
      </c>
    </row>
    <row r="48" spans="2:17" ht="18" customHeight="1" thickBot="1">
      <c r="B48" s="4" t="s">
        <v>37</v>
      </c>
      <c r="C48" s="5">
        <f t="shared" si="1"/>
        <v>30583</v>
      </c>
      <c r="E48" s="13">
        <v>7303</v>
      </c>
      <c r="F48" s="13">
        <v>7280</v>
      </c>
      <c r="G48" s="13">
        <v>5481</v>
      </c>
      <c r="H48" s="13">
        <v>5844</v>
      </c>
      <c r="I48" s="13">
        <v>4675</v>
      </c>
      <c r="J48" s="13"/>
      <c r="K48" s="13"/>
      <c r="L48" s="13"/>
      <c r="M48" s="13"/>
      <c r="N48" s="13"/>
      <c r="O48" s="13"/>
      <c r="P48" s="13"/>
      <c r="Q48" s="29">
        <f t="shared" si="2"/>
        <v>30583</v>
      </c>
    </row>
    <row r="49" spans="2:19" ht="20.25" customHeight="1" thickBot="1">
      <c r="B49" s="6" t="s">
        <v>38</v>
      </c>
      <c r="C49" s="5">
        <f t="shared" si="1"/>
        <v>93237</v>
      </c>
      <c r="E49" s="13">
        <v>42375</v>
      </c>
      <c r="F49" s="13">
        <v>12578</v>
      </c>
      <c r="G49" s="13">
        <v>12760</v>
      </c>
      <c r="H49" s="13">
        <v>13656</v>
      </c>
      <c r="I49" s="13">
        <v>11868</v>
      </c>
      <c r="J49" s="13"/>
      <c r="K49" s="13"/>
      <c r="L49" s="13"/>
      <c r="M49" s="13"/>
      <c r="N49" s="13"/>
      <c r="O49" s="13"/>
      <c r="P49" s="13"/>
      <c r="Q49" s="29">
        <f t="shared" si="2"/>
        <v>93237</v>
      </c>
    </row>
    <row r="50" spans="2:19" ht="20.25" customHeight="1" thickBot="1">
      <c r="B50" s="4" t="s">
        <v>39</v>
      </c>
      <c r="C50" s="5">
        <f t="shared" si="1"/>
        <v>51628</v>
      </c>
      <c r="E50" s="13">
        <v>10400</v>
      </c>
      <c r="F50" s="13">
        <v>11031</v>
      </c>
      <c r="G50" s="13">
        <v>13060</v>
      </c>
      <c r="H50" s="13">
        <v>9737</v>
      </c>
      <c r="I50" s="13">
        <v>7400</v>
      </c>
      <c r="J50" s="13"/>
      <c r="K50" s="13"/>
      <c r="L50" s="13"/>
      <c r="M50" s="13"/>
      <c r="N50" s="13"/>
      <c r="O50" s="13"/>
      <c r="P50" s="13"/>
      <c r="Q50" s="29">
        <f t="shared" si="2"/>
        <v>51628</v>
      </c>
    </row>
    <row r="51" spans="2:19" ht="15.75" thickBot="1">
      <c r="B51" s="6" t="s">
        <v>40</v>
      </c>
      <c r="C51" s="5">
        <f t="shared" si="1"/>
        <v>39354</v>
      </c>
      <c r="E51" s="13">
        <v>6165</v>
      </c>
      <c r="F51" s="13">
        <v>8755</v>
      </c>
      <c r="G51" s="13">
        <v>9009</v>
      </c>
      <c r="H51" s="13">
        <v>8473</v>
      </c>
      <c r="I51" s="13">
        <v>6952</v>
      </c>
      <c r="J51" s="13"/>
      <c r="K51" s="13"/>
      <c r="L51" s="13"/>
      <c r="M51" s="13"/>
      <c r="N51" s="13"/>
      <c r="O51" s="13"/>
      <c r="P51" s="13"/>
      <c r="Q51" s="29">
        <f t="shared" si="2"/>
        <v>39354</v>
      </c>
    </row>
    <row r="52" spans="2:19" ht="15.75" thickBot="1">
      <c r="B52" s="4" t="s">
        <v>41</v>
      </c>
      <c r="C52" s="5">
        <f t="shared" si="1"/>
        <v>23315</v>
      </c>
      <c r="E52" s="13">
        <v>3125</v>
      </c>
      <c r="F52" s="13">
        <v>3682</v>
      </c>
      <c r="G52" s="13">
        <v>4870</v>
      </c>
      <c r="H52" s="13">
        <v>6365</v>
      </c>
      <c r="I52" s="13">
        <v>5273</v>
      </c>
      <c r="J52" s="13"/>
      <c r="K52" s="13"/>
      <c r="L52" s="13"/>
      <c r="M52" s="13"/>
      <c r="N52" s="13"/>
      <c r="O52" s="13"/>
      <c r="P52" s="13"/>
      <c r="Q52" s="29">
        <f t="shared" si="2"/>
        <v>23315</v>
      </c>
    </row>
    <row r="53" spans="2:19" ht="19.5" customHeight="1" thickBot="1">
      <c r="B53" s="6" t="s">
        <v>42</v>
      </c>
      <c r="C53" s="5">
        <f t="shared" si="1"/>
        <v>59955</v>
      </c>
      <c r="E53" s="13">
        <v>10268</v>
      </c>
      <c r="F53" s="13">
        <v>9228</v>
      </c>
      <c r="G53" s="13">
        <v>11133</v>
      </c>
      <c r="H53" s="13">
        <v>14047</v>
      </c>
      <c r="I53" s="13">
        <v>15279</v>
      </c>
      <c r="J53" s="13"/>
      <c r="K53" s="13"/>
      <c r="L53" s="13"/>
      <c r="M53" s="13"/>
      <c r="N53" s="13"/>
      <c r="O53" s="13"/>
      <c r="P53" s="13"/>
      <c r="Q53" s="29">
        <f t="shared" si="2"/>
        <v>59955</v>
      </c>
    </row>
    <row r="54" spans="2:19" ht="15.75" thickBot="1">
      <c r="B54" s="4" t="s">
        <v>69</v>
      </c>
      <c r="C54" s="5">
        <f t="shared" si="1"/>
        <v>45395</v>
      </c>
      <c r="E54" s="13">
        <v>15558</v>
      </c>
      <c r="F54" s="13">
        <v>9345</v>
      </c>
      <c r="G54" s="13">
        <v>8447</v>
      </c>
      <c r="H54" s="13">
        <v>6338</v>
      </c>
      <c r="I54" s="13">
        <v>5707</v>
      </c>
      <c r="J54" s="13"/>
      <c r="K54" s="13"/>
      <c r="L54" s="13"/>
      <c r="M54" s="13"/>
      <c r="N54" s="13"/>
      <c r="O54" s="13"/>
      <c r="P54" s="13"/>
      <c r="Q54" s="29">
        <f t="shared" si="2"/>
        <v>45395</v>
      </c>
    </row>
    <row r="55" spans="2:19" ht="15.75" thickBot="1">
      <c r="B55" s="6" t="s">
        <v>43</v>
      </c>
      <c r="C55" s="5">
        <f t="shared" si="1"/>
        <v>43658</v>
      </c>
      <c r="E55" s="13">
        <v>13800</v>
      </c>
      <c r="F55" s="13">
        <v>9340</v>
      </c>
      <c r="G55" s="13">
        <v>7220</v>
      </c>
      <c r="H55" s="13">
        <v>6768</v>
      </c>
      <c r="I55" s="13">
        <v>6530</v>
      </c>
      <c r="J55" s="13"/>
      <c r="K55" s="13"/>
      <c r="L55" s="13"/>
      <c r="M55" s="13"/>
      <c r="N55" s="13"/>
      <c r="O55" s="13"/>
      <c r="P55" s="13"/>
      <c r="Q55" s="29">
        <f t="shared" si="2"/>
        <v>43658</v>
      </c>
    </row>
    <row r="56" spans="2:19" ht="15.75" thickBot="1">
      <c r="B56" s="4" t="s">
        <v>44</v>
      </c>
      <c r="C56" s="5">
        <f t="shared" si="1"/>
        <v>88587</v>
      </c>
      <c r="E56" s="13">
        <v>27181</v>
      </c>
      <c r="F56" s="13">
        <v>20983</v>
      </c>
      <c r="G56" s="13">
        <v>19794</v>
      </c>
      <c r="H56" s="13">
        <v>10227</v>
      </c>
      <c r="I56" s="13">
        <v>10402</v>
      </c>
      <c r="J56" s="13"/>
      <c r="K56" s="13"/>
      <c r="L56" s="13"/>
      <c r="M56" s="13"/>
      <c r="N56" s="13"/>
      <c r="O56" s="13"/>
      <c r="P56" s="13"/>
      <c r="Q56" s="29">
        <f t="shared" si="2"/>
        <v>88587</v>
      </c>
    </row>
    <row r="57" spans="2:19" ht="15.75" thickBot="1">
      <c r="B57" s="6" t="s">
        <v>45</v>
      </c>
      <c r="C57" s="5">
        <f t="shared" si="1"/>
        <v>65083</v>
      </c>
      <c r="E57" s="13">
        <v>15450</v>
      </c>
      <c r="F57" s="13">
        <v>13206</v>
      </c>
      <c r="G57" s="13">
        <v>13855</v>
      </c>
      <c r="H57" s="13">
        <v>13077</v>
      </c>
      <c r="I57" s="13">
        <v>9495</v>
      </c>
      <c r="J57" s="13"/>
      <c r="K57" s="13"/>
      <c r="L57" s="13"/>
      <c r="M57" s="13"/>
      <c r="N57" s="13"/>
      <c r="O57" s="13"/>
      <c r="P57" s="13"/>
      <c r="Q57" s="29">
        <f t="shared" si="2"/>
        <v>65083</v>
      </c>
    </row>
    <row r="58" spans="2:19" ht="18.75" customHeight="1" thickBot="1">
      <c r="B58" s="4" t="s">
        <v>46</v>
      </c>
      <c r="C58" s="5">
        <f t="shared" si="1"/>
        <v>2754727</v>
      </c>
      <c r="E58" s="32">
        <f>SUM(E7:E57)</f>
        <v>723938</v>
      </c>
      <c r="F58" s="32">
        <f>SUM(F7:F57)</f>
        <v>453170</v>
      </c>
      <c r="G58" s="32">
        <f>SUM(G7:G57)</f>
        <v>517440</v>
      </c>
      <c r="H58" s="32">
        <f>SUM(H7:H57)</f>
        <v>544329</v>
      </c>
      <c r="I58" s="32">
        <f>SUM(I7:I57)</f>
        <v>515850</v>
      </c>
      <c r="J58" s="15"/>
      <c r="K58" s="15"/>
      <c r="L58" s="15"/>
      <c r="M58" s="15"/>
      <c r="N58" s="15"/>
      <c r="O58" s="15"/>
      <c r="P58" s="39"/>
      <c r="Q58" s="32">
        <f>SUM(Q7:Q57)</f>
        <v>2754727</v>
      </c>
      <c r="R58">
        <v>66.25</v>
      </c>
      <c r="S58" s="27">
        <f>+Q58*R58</f>
        <v>182500663.75</v>
      </c>
    </row>
    <row r="59" spans="2:19" ht="15.75" thickBot="1">
      <c r="B59" s="7" t="s">
        <v>47</v>
      </c>
      <c r="C59" s="8">
        <f>C58+C5</f>
        <v>3558731</v>
      </c>
      <c r="E59" s="29">
        <f>E6+E58</f>
        <v>847710</v>
      </c>
      <c r="F59" s="29">
        <f>F58+F6</f>
        <v>621790</v>
      </c>
      <c r="G59" s="29">
        <f>G58+G6</f>
        <v>751937</v>
      </c>
      <c r="H59" s="29">
        <f>H58+H6</f>
        <v>688004</v>
      </c>
      <c r="I59" s="29">
        <f>I58+I6</f>
        <v>649290</v>
      </c>
      <c r="J59" s="13"/>
      <c r="K59" s="13"/>
      <c r="L59" s="13"/>
      <c r="M59" s="13"/>
      <c r="N59" s="13"/>
      <c r="O59" s="13"/>
      <c r="P59" s="14"/>
      <c r="Q59" s="29">
        <f>SUM(E59:P59)</f>
        <v>3558731</v>
      </c>
    </row>
    <row r="60" spans="2:19" ht="1.5" customHeight="1">
      <c r="E60" s="16"/>
      <c r="F60" s="16"/>
      <c r="G60" s="16"/>
      <c r="H60" s="16"/>
      <c r="I60" s="16"/>
    </row>
    <row r="61" spans="2:19">
      <c r="D61" t="s">
        <v>59</v>
      </c>
      <c r="E61" s="21">
        <v>67.599999999999994</v>
      </c>
      <c r="F61" s="21">
        <v>71.959999999999994</v>
      </c>
      <c r="G61" s="21">
        <v>56.87</v>
      </c>
      <c r="H61">
        <v>61.9</v>
      </c>
      <c r="I61">
        <v>74.459999999999994</v>
      </c>
      <c r="R61">
        <f>SUM(E61:Q61)</f>
        <v>332.78999999999996</v>
      </c>
    </row>
    <row r="62" spans="2:19">
      <c r="E62" s="22">
        <f>E61*E59</f>
        <v>57305195.999999993</v>
      </c>
      <c r="F62" s="22">
        <f>F61*F59</f>
        <v>44744008.399999999</v>
      </c>
      <c r="G62" s="22">
        <f t="shared" ref="G62:I62" si="3">G61*G59</f>
        <v>42762657.189999998</v>
      </c>
      <c r="H62" s="22">
        <f t="shared" si="3"/>
        <v>42587447.600000001</v>
      </c>
      <c r="I62" s="22">
        <f t="shared" si="3"/>
        <v>48346133.399999999</v>
      </c>
      <c r="J62" s="10"/>
      <c r="K62" s="10"/>
      <c r="L62" s="10"/>
      <c r="M62" s="10"/>
      <c r="N62" s="10"/>
      <c r="O62" s="10"/>
      <c r="P62" s="10"/>
      <c r="Q62" s="37">
        <f>SUM(E62:P62)</f>
        <v>235745442.58999997</v>
      </c>
      <c r="R62">
        <v>5</v>
      </c>
      <c r="S62" s="23">
        <f>+S58+S6</f>
        <v>182500663.75</v>
      </c>
    </row>
    <row r="63" spans="2:19">
      <c r="R63">
        <f>+R61/5</f>
        <v>66.557999999999993</v>
      </c>
    </row>
    <row r="64" spans="2:19">
      <c r="G64" s="19"/>
      <c r="H64" s="20"/>
    </row>
    <row r="65" spans="3:19">
      <c r="G65" s="19"/>
      <c r="H65" s="20"/>
      <c r="Q65">
        <f>+Q62/Q59</f>
        <v>66.244243408675729</v>
      </c>
    </row>
    <row r="66" spans="3:19">
      <c r="E66" s="16">
        <f>+E6</f>
        <v>123772</v>
      </c>
      <c r="F66" s="16">
        <f>+F6</f>
        <v>168620</v>
      </c>
      <c r="G66" s="166">
        <f>+G6</f>
        <v>234497</v>
      </c>
      <c r="H66" s="167">
        <f>+H6</f>
        <v>143675</v>
      </c>
      <c r="I66" s="16">
        <f>+I6</f>
        <v>133440</v>
      </c>
      <c r="S66" s="23"/>
    </row>
    <row r="67" spans="3:19">
      <c r="C67">
        <v>16105484</v>
      </c>
      <c r="G67" s="19"/>
      <c r="H67" s="20"/>
    </row>
    <row r="68" spans="3:19">
      <c r="C68" s="40">
        <f>+C67-C59</f>
        <v>12546753</v>
      </c>
      <c r="F68" s="38">
        <f>+E66+F66+G66+H66+I66</f>
        <v>804004</v>
      </c>
    </row>
    <row r="69" spans="3:19">
      <c r="E69" s="40">
        <f>+C59+C68</f>
        <v>16105484</v>
      </c>
      <c r="F69" s="27">
        <f>+F68*66558</f>
        <v>53512898232</v>
      </c>
    </row>
    <row r="70" spans="3:19">
      <c r="E70" s="23"/>
      <c r="I70">
        <f>SUM(I68:I69)</f>
        <v>0</v>
      </c>
    </row>
    <row r="71" spans="3:19">
      <c r="C71" s="40">
        <f>+C5</f>
        <v>804004</v>
      </c>
    </row>
    <row r="72" spans="3:19">
      <c r="C72" t="e">
        <f>+'COCIDA 2021'!C4:C5</f>
        <v>#VALUE!</v>
      </c>
    </row>
  </sheetData>
  <mergeCells count="2">
    <mergeCell ref="B3:C3"/>
    <mergeCell ref="B4:C4"/>
  </mergeCells>
  <pageMargins left="0.11811023622047245" right="0.11811023622047245" top="0.11811023622047245" bottom="0.11811023622047245" header="0.11811023622047245" footer="0.11811023622047245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opLeftCell="B34" zoomScale="98" zoomScaleNormal="98" workbookViewId="0">
      <selection activeCell="B41" sqref="B41"/>
    </sheetView>
  </sheetViews>
  <sheetFormatPr baseColWidth="10" defaultRowHeight="15"/>
  <cols>
    <col min="1" max="1" width="4.85546875" customWidth="1"/>
    <col min="2" max="2" width="34.42578125" customWidth="1"/>
    <col min="3" max="3" width="18.7109375" customWidth="1"/>
    <col min="4" max="4" width="6.5703125" style="46" customWidth="1"/>
    <col min="5" max="5" width="18.28515625" customWidth="1"/>
    <col min="6" max="6" width="17.85546875" customWidth="1"/>
    <col min="7" max="7" width="20.5703125" customWidth="1"/>
    <col min="8" max="8" width="15.85546875" customWidth="1"/>
    <col min="9" max="9" width="18.5703125" customWidth="1"/>
    <col min="10" max="10" width="17.7109375" customWidth="1"/>
    <col min="11" max="11" width="19.7109375" customWidth="1"/>
    <col min="12" max="13" width="18.140625" customWidth="1"/>
    <col min="14" max="14" width="29.7109375" customWidth="1"/>
    <col min="15" max="15" width="15.85546875" customWidth="1"/>
    <col min="16" max="16" width="20.140625" customWidth="1"/>
    <col min="17" max="17" width="21.140625" customWidth="1"/>
    <col min="18" max="18" width="5.42578125" customWidth="1"/>
    <col min="19" max="19" width="16.42578125" hidden="1" customWidth="1"/>
    <col min="20" max="20" width="7.5703125" customWidth="1"/>
    <col min="21" max="21" width="7.85546875" customWidth="1"/>
    <col min="22" max="22" width="14.140625" bestFit="1" customWidth="1"/>
    <col min="26" max="26" width="19.28515625" customWidth="1"/>
  </cols>
  <sheetData>
    <row r="1" spans="1:25">
      <c r="B1" s="49"/>
      <c r="C1" s="49"/>
    </row>
    <row r="2" spans="1:25" ht="54" customHeight="1">
      <c r="B2" s="299" t="s">
        <v>76</v>
      </c>
      <c r="C2" s="300"/>
      <c r="D2" s="50"/>
      <c r="E2" s="51" t="s">
        <v>77</v>
      </c>
      <c r="F2" s="51" t="s">
        <v>78</v>
      </c>
      <c r="G2" s="51" t="s">
        <v>50</v>
      </c>
      <c r="H2" s="51" t="s">
        <v>51</v>
      </c>
      <c r="I2" s="51" t="s">
        <v>52</v>
      </c>
      <c r="J2" s="51" t="s">
        <v>53</v>
      </c>
      <c r="K2" s="51" t="s">
        <v>54</v>
      </c>
      <c r="L2" s="51" t="s">
        <v>55</v>
      </c>
      <c r="M2" s="51" t="s">
        <v>56</v>
      </c>
      <c r="N2" s="51" t="s">
        <v>57</v>
      </c>
      <c r="O2" s="51" t="s">
        <v>66</v>
      </c>
      <c r="P2" s="51" t="s">
        <v>67</v>
      </c>
      <c r="Q2" s="51" t="s">
        <v>79</v>
      </c>
      <c r="R2" s="68"/>
      <c r="S2" s="68"/>
    </row>
    <row r="3" spans="1:25">
      <c r="A3" s="52"/>
      <c r="B3" s="301" t="s">
        <v>80</v>
      </c>
      <c r="C3" s="301"/>
      <c r="D3" s="50"/>
      <c r="E3" s="26">
        <v>162983</v>
      </c>
      <c r="F3" s="26">
        <v>146682</v>
      </c>
      <c r="G3" s="26">
        <v>184004</v>
      </c>
      <c r="H3" s="26">
        <v>221332</v>
      </c>
      <c r="I3" s="26">
        <f>36826+157132</f>
        <v>193958</v>
      </c>
      <c r="J3" s="26">
        <f>41439+62982</f>
        <v>104421</v>
      </c>
      <c r="K3" s="26">
        <f>33323+102161</f>
        <v>135484</v>
      </c>
      <c r="L3" s="26">
        <f>34215+138974</f>
        <v>173189</v>
      </c>
      <c r="M3" s="26">
        <f>38027+123183</f>
        <v>161210</v>
      </c>
      <c r="N3" s="26">
        <f>46603+115705</f>
        <v>162308</v>
      </c>
      <c r="O3" s="26">
        <f>47088+139133</f>
        <v>186221</v>
      </c>
      <c r="P3" s="53">
        <v>204843</v>
      </c>
      <c r="Q3" s="26">
        <f>SUM(E3:P3)</f>
        <v>2036635</v>
      </c>
      <c r="R3" s="53"/>
      <c r="S3" s="53"/>
      <c r="T3" s="25"/>
    </row>
    <row r="4" spans="1:25">
      <c r="A4" s="52"/>
      <c r="B4" s="55"/>
      <c r="C4" s="302">
        <f>+Q3</f>
        <v>2036635</v>
      </c>
      <c r="D4" s="5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53"/>
      <c r="S4" s="53"/>
      <c r="T4" s="28"/>
    </row>
    <row r="5" spans="1:25">
      <c r="B5" s="57" t="s">
        <v>81</v>
      </c>
      <c r="C5" s="303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53"/>
      <c r="S5" s="53"/>
      <c r="T5" s="28"/>
    </row>
    <row r="6" spans="1:25">
      <c r="A6" s="52"/>
      <c r="B6" s="58"/>
      <c r="C6" s="304">
        <f>+Q6</f>
        <v>2036635</v>
      </c>
      <c r="D6" s="50"/>
      <c r="E6" s="59">
        <f>SUM(E3:E5)</f>
        <v>162983</v>
      </c>
      <c r="F6" s="59">
        <f>SUM(F3:F5)</f>
        <v>146682</v>
      </c>
      <c r="G6" s="59">
        <f>SUM(G3:G5)</f>
        <v>184004</v>
      </c>
      <c r="H6" s="59">
        <f>SUM(H3:H5)</f>
        <v>221332</v>
      </c>
      <c r="I6" s="59">
        <f t="shared" ref="I6:N6" si="0">SUM(I3:I5)</f>
        <v>193958</v>
      </c>
      <c r="J6" s="59">
        <f t="shared" si="0"/>
        <v>104421</v>
      </c>
      <c r="K6" s="59">
        <f t="shared" si="0"/>
        <v>135484</v>
      </c>
      <c r="L6" s="59">
        <f t="shared" si="0"/>
        <v>173189</v>
      </c>
      <c r="M6" s="59">
        <f t="shared" si="0"/>
        <v>161210</v>
      </c>
      <c r="N6" s="59">
        <f t="shared" si="0"/>
        <v>162308</v>
      </c>
      <c r="O6" s="59">
        <f>+O3</f>
        <v>186221</v>
      </c>
      <c r="P6" s="59">
        <f>+P3</f>
        <v>204843</v>
      </c>
      <c r="Q6" s="60">
        <f>SUM(E6:P6)</f>
        <v>2036635</v>
      </c>
      <c r="T6" s="25"/>
    </row>
    <row r="7" spans="1:25">
      <c r="B7" s="61" t="s">
        <v>82</v>
      </c>
      <c r="C7" s="305"/>
      <c r="D7" s="50"/>
      <c r="E7" s="26"/>
      <c r="F7" s="26"/>
      <c r="G7" s="26"/>
      <c r="H7" s="26"/>
      <c r="I7" s="26"/>
      <c r="J7" s="26"/>
      <c r="K7" s="26"/>
      <c r="L7" s="26"/>
      <c r="M7" s="26"/>
      <c r="N7" s="62"/>
      <c r="O7" s="62"/>
      <c r="P7" s="62"/>
      <c r="Q7" s="26"/>
      <c r="R7" s="53"/>
      <c r="S7" s="53"/>
      <c r="U7" s="25"/>
    </row>
    <row r="8" spans="1:25">
      <c r="B8" s="306"/>
      <c r="C8" s="307"/>
      <c r="D8" s="5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53"/>
      <c r="S8" s="53"/>
      <c r="T8" s="25"/>
    </row>
    <row r="9" spans="1:25" ht="12.75" customHeight="1">
      <c r="A9" s="42"/>
      <c r="B9" s="63" t="s">
        <v>83</v>
      </c>
      <c r="C9" s="64">
        <f>+Q9</f>
        <v>2173145</v>
      </c>
      <c r="E9" s="26">
        <v>390173</v>
      </c>
      <c r="F9" s="65">
        <v>417272</v>
      </c>
      <c r="G9" s="26">
        <v>441337</v>
      </c>
      <c r="H9" s="26">
        <v>98480</v>
      </c>
      <c r="I9" s="26">
        <v>103187</v>
      </c>
      <c r="J9" s="26">
        <v>111687</v>
      </c>
      <c r="K9" s="26">
        <v>110540</v>
      </c>
      <c r="L9" s="26">
        <v>84086</v>
      </c>
      <c r="M9" s="66">
        <v>82239</v>
      </c>
      <c r="N9" s="26">
        <v>115404</v>
      </c>
      <c r="O9" s="66">
        <v>106040</v>
      </c>
      <c r="P9" s="67">
        <f>+S9</f>
        <v>112700</v>
      </c>
      <c r="Q9" s="26">
        <f>+E9+F9+G9+H9+I9+J9+K9+L9+M9+N9+O9+P9</f>
        <v>2173145</v>
      </c>
      <c r="R9" s="53"/>
      <c r="S9" s="67">
        <f>222700-110000</f>
        <v>112700</v>
      </c>
      <c r="T9" s="257"/>
      <c r="V9" s="28"/>
      <c r="X9" s="25"/>
      <c r="Y9" s="25"/>
    </row>
    <row r="10" spans="1:25" ht="18.75" customHeight="1">
      <c r="B10" s="69" t="s">
        <v>84</v>
      </c>
      <c r="C10" s="64">
        <f t="shared" ref="C10:C54" si="1">+Q10</f>
        <v>345960</v>
      </c>
      <c r="E10" s="26">
        <v>2443</v>
      </c>
      <c r="F10" s="65">
        <v>20760</v>
      </c>
      <c r="G10" s="26">
        <v>31281</v>
      </c>
      <c r="H10" s="26">
        <v>36627</v>
      </c>
      <c r="I10" s="26">
        <v>38840</v>
      </c>
      <c r="J10" s="26">
        <v>46803</v>
      </c>
      <c r="K10" s="26">
        <v>35246</v>
      </c>
      <c r="L10" s="26">
        <v>30070</v>
      </c>
      <c r="M10" s="66">
        <v>27961</v>
      </c>
      <c r="N10" s="66">
        <v>26896</v>
      </c>
      <c r="O10" s="66">
        <v>22923</v>
      </c>
      <c r="P10" s="67">
        <f t="shared" ref="P10:P54" si="2">+S10</f>
        <v>26110</v>
      </c>
      <c r="Q10" s="26">
        <f t="shared" ref="Q10:Q54" si="3">+E10+F10+G10+H10+I10+J10+K10+L10+M10+N10+O10+P10</f>
        <v>345960</v>
      </c>
      <c r="R10" s="53"/>
      <c r="S10" s="67">
        <f>156427-130317</f>
        <v>26110</v>
      </c>
      <c r="T10" s="257"/>
      <c r="V10" s="28"/>
    </row>
    <row r="11" spans="1:25">
      <c r="B11" s="70" t="s">
        <v>85</v>
      </c>
      <c r="C11" s="64">
        <f t="shared" si="1"/>
        <v>558993</v>
      </c>
      <c r="E11" s="26">
        <v>29202</v>
      </c>
      <c r="F11" s="65">
        <v>36283</v>
      </c>
      <c r="G11" s="26">
        <v>46843</v>
      </c>
      <c r="H11" s="26">
        <v>44778</v>
      </c>
      <c r="I11" s="26">
        <v>43205</v>
      </c>
      <c r="J11" s="26">
        <v>46769</v>
      </c>
      <c r="K11" s="26">
        <v>41302</v>
      </c>
      <c r="L11" s="26">
        <v>36707</v>
      </c>
      <c r="M11" s="66">
        <v>38341</v>
      </c>
      <c r="N11" s="26">
        <v>52180</v>
      </c>
      <c r="O11" s="66">
        <v>55787</v>
      </c>
      <c r="P11" s="67">
        <f t="shared" si="2"/>
        <v>87596</v>
      </c>
      <c r="Q11" s="26">
        <f t="shared" si="3"/>
        <v>558993</v>
      </c>
      <c r="R11" s="53"/>
      <c r="S11" s="67">
        <f>187913-100317</f>
        <v>87596</v>
      </c>
      <c r="T11" s="257"/>
      <c r="V11" s="28"/>
    </row>
    <row r="12" spans="1:25">
      <c r="A12" s="42"/>
      <c r="B12" s="70" t="s">
        <v>86</v>
      </c>
      <c r="C12" s="64">
        <f t="shared" si="1"/>
        <v>1463413</v>
      </c>
      <c r="E12" s="26">
        <v>353720</v>
      </c>
      <c r="F12" s="65">
        <v>362846</v>
      </c>
      <c r="G12" s="26">
        <v>375639</v>
      </c>
      <c r="H12" s="26">
        <v>41626</v>
      </c>
      <c r="I12" s="26">
        <v>45627</v>
      </c>
      <c r="J12" s="26">
        <v>49053</v>
      </c>
      <c r="K12" s="26">
        <v>49365</v>
      </c>
      <c r="L12" s="26">
        <v>34122</v>
      </c>
      <c r="M12" s="66">
        <v>37046</v>
      </c>
      <c r="N12" s="26">
        <v>36025</v>
      </c>
      <c r="O12" s="66">
        <v>38884</v>
      </c>
      <c r="P12" s="67">
        <f t="shared" si="2"/>
        <v>39460</v>
      </c>
      <c r="Q12" s="26">
        <f t="shared" si="3"/>
        <v>1463413</v>
      </c>
      <c r="R12" s="53"/>
      <c r="S12" s="67">
        <f>52323-12863</f>
        <v>39460</v>
      </c>
      <c r="T12" s="257"/>
      <c r="V12" s="28"/>
      <c r="W12" s="25"/>
    </row>
    <row r="13" spans="1:25">
      <c r="A13" s="42"/>
      <c r="B13" s="70" t="s">
        <v>87</v>
      </c>
      <c r="C13" s="64">
        <f t="shared" si="1"/>
        <v>77269</v>
      </c>
      <c r="E13" s="26"/>
      <c r="F13" s="65"/>
      <c r="G13" s="26"/>
      <c r="H13" s="26"/>
      <c r="I13" s="26"/>
      <c r="J13" s="26"/>
      <c r="K13" s="26"/>
      <c r="L13" s="26"/>
      <c r="M13" s="26">
        <v>10393</v>
      </c>
      <c r="N13" s="71">
        <v>13524</v>
      </c>
      <c r="O13" s="66">
        <v>28268</v>
      </c>
      <c r="P13" s="67">
        <f t="shared" si="2"/>
        <v>25084</v>
      </c>
      <c r="Q13" s="26">
        <f t="shared" si="3"/>
        <v>77269</v>
      </c>
      <c r="R13" s="53"/>
      <c r="S13" s="67">
        <f>37947-12863</f>
        <v>25084</v>
      </c>
      <c r="T13" s="257"/>
      <c r="V13" s="28"/>
    </row>
    <row r="14" spans="1:25">
      <c r="B14" s="69" t="s">
        <v>88</v>
      </c>
      <c r="C14" s="64">
        <f t="shared" si="1"/>
        <v>596161</v>
      </c>
      <c r="E14" s="26">
        <v>42839</v>
      </c>
      <c r="F14" s="65">
        <v>41864</v>
      </c>
      <c r="G14" s="26">
        <v>50984</v>
      </c>
      <c r="H14" s="26">
        <v>35518</v>
      </c>
      <c r="I14" s="26">
        <v>40114</v>
      </c>
      <c r="J14" s="26">
        <v>51987</v>
      </c>
      <c r="K14" s="26">
        <v>59795</v>
      </c>
      <c r="L14" s="26">
        <v>53917</v>
      </c>
      <c r="M14" s="66">
        <v>53156</v>
      </c>
      <c r="N14" s="26">
        <v>50796</v>
      </c>
      <c r="O14" s="66">
        <v>57317</v>
      </c>
      <c r="P14" s="67">
        <f t="shared" si="2"/>
        <v>57874</v>
      </c>
      <c r="Q14" s="26">
        <f>+E14+F14+G14+H14+I14+J14+K14+L14+M14+N14+O14+P14</f>
        <v>596161</v>
      </c>
      <c r="R14" s="53"/>
      <c r="S14" s="67">
        <f>70532-12658</f>
        <v>57874</v>
      </c>
      <c r="T14" s="257"/>
      <c r="V14" s="28"/>
    </row>
    <row r="15" spans="1:25">
      <c r="A15" s="42"/>
      <c r="B15" s="70" t="s">
        <v>89</v>
      </c>
      <c r="C15" s="64">
        <f t="shared" si="1"/>
        <v>468841</v>
      </c>
      <c r="E15" s="26">
        <v>42478</v>
      </c>
      <c r="F15" s="65">
        <v>48842</v>
      </c>
      <c r="G15" s="26">
        <v>57070</v>
      </c>
      <c r="H15" s="26">
        <v>29395</v>
      </c>
      <c r="I15" s="26">
        <v>35188</v>
      </c>
      <c r="J15" s="26">
        <v>42743</v>
      </c>
      <c r="K15" s="26">
        <v>44045</v>
      </c>
      <c r="L15" s="26">
        <v>34920</v>
      </c>
      <c r="M15" s="66">
        <v>29087</v>
      </c>
      <c r="N15" s="26">
        <v>33190</v>
      </c>
      <c r="O15" s="66">
        <v>36349</v>
      </c>
      <c r="P15" s="67">
        <f t="shared" si="2"/>
        <v>35534</v>
      </c>
      <c r="Q15" s="26">
        <f t="shared" si="3"/>
        <v>468841</v>
      </c>
      <c r="R15" s="53"/>
      <c r="S15" s="67">
        <f>48397-12863</f>
        <v>35534</v>
      </c>
      <c r="T15" s="257"/>
      <c r="V15" s="28"/>
    </row>
    <row r="16" spans="1:25">
      <c r="A16" s="42"/>
      <c r="B16" s="69" t="s">
        <v>90</v>
      </c>
      <c r="C16" s="64">
        <f t="shared" si="1"/>
        <v>429059</v>
      </c>
      <c r="E16" s="26">
        <v>33720</v>
      </c>
      <c r="F16" s="72">
        <v>40219</v>
      </c>
      <c r="G16" s="26">
        <v>52207</v>
      </c>
      <c r="H16" s="26">
        <v>30353</v>
      </c>
      <c r="I16" s="26">
        <v>31375</v>
      </c>
      <c r="J16" s="26">
        <v>34649</v>
      </c>
      <c r="K16" s="26">
        <v>34126</v>
      </c>
      <c r="L16" s="26">
        <v>28966</v>
      </c>
      <c r="M16" s="66">
        <v>26257</v>
      </c>
      <c r="N16" s="26">
        <v>32333</v>
      </c>
      <c r="O16" s="66">
        <v>42041</v>
      </c>
      <c r="P16" s="67">
        <f t="shared" si="2"/>
        <v>42813</v>
      </c>
      <c r="Q16" s="26">
        <f>+E16+F16+G16+H16+I16+J16+K16+L16+M16+N16+O16+P16</f>
        <v>429059</v>
      </c>
      <c r="R16" s="53"/>
      <c r="S16" s="67">
        <v>42813</v>
      </c>
      <c r="T16" s="257"/>
      <c r="U16" s="27"/>
      <c r="V16" s="28"/>
    </row>
    <row r="17" spans="1:26">
      <c r="B17" s="70" t="s">
        <v>91</v>
      </c>
      <c r="C17" s="64">
        <f t="shared" si="1"/>
        <v>214308</v>
      </c>
      <c r="E17" s="26">
        <v>14292</v>
      </c>
      <c r="F17" s="26">
        <v>19079</v>
      </c>
      <c r="G17" s="72">
        <v>21738</v>
      </c>
      <c r="H17" s="26">
        <v>19596</v>
      </c>
      <c r="I17" s="26">
        <v>21365</v>
      </c>
      <c r="J17" s="26">
        <v>20739</v>
      </c>
      <c r="K17" s="26">
        <v>18515</v>
      </c>
      <c r="L17" s="26">
        <v>11988</v>
      </c>
      <c r="M17" s="66">
        <v>15281</v>
      </c>
      <c r="N17" s="26">
        <v>17621</v>
      </c>
      <c r="O17" s="66">
        <v>19708</v>
      </c>
      <c r="P17" s="67">
        <f t="shared" si="2"/>
        <v>14386</v>
      </c>
      <c r="Q17" s="26">
        <f t="shared" si="3"/>
        <v>214308</v>
      </c>
      <c r="R17" s="53"/>
      <c r="S17" s="67">
        <f>16386-2000</f>
        <v>14386</v>
      </c>
      <c r="T17" s="257"/>
      <c r="V17" s="28"/>
    </row>
    <row r="18" spans="1:26">
      <c r="A18" s="42"/>
      <c r="B18" s="73" t="s">
        <v>92</v>
      </c>
      <c r="C18" s="64">
        <f t="shared" si="1"/>
        <v>226823</v>
      </c>
      <c r="E18" s="26">
        <v>17834</v>
      </c>
      <c r="F18" s="26">
        <v>21227</v>
      </c>
      <c r="G18" s="26">
        <v>21061</v>
      </c>
      <c r="H18" s="26">
        <v>20032</v>
      </c>
      <c r="I18" s="26">
        <v>21144</v>
      </c>
      <c r="J18" s="26">
        <v>21805</v>
      </c>
      <c r="K18" s="26">
        <v>20957</v>
      </c>
      <c r="L18" s="26">
        <v>16923</v>
      </c>
      <c r="M18" s="66">
        <v>15735</v>
      </c>
      <c r="N18" s="26">
        <v>15154</v>
      </c>
      <c r="O18" s="66">
        <v>16698</v>
      </c>
      <c r="P18" s="67">
        <f t="shared" si="2"/>
        <v>18253</v>
      </c>
      <c r="Q18" s="26">
        <f t="shared" si="3"/>
        <v>226823</v>
      </c>
      <c r="R18" s="53"/>
      <c r="S18" s="67">
        <v>18253</v>
      </c>
      <c r="T18" s="257"/>
      <c r="V18" s="28"/>
    </row>
    <row r="19" spans="1:26">
      <c r="A19" s="42"/>
      <c r="B19" s="74" t="s">
        <v>93</v>
      </c>
      <c r="C19" s="64">
        <f t="shared" si="1"/>
        <v>170483</v>
      </c>
      <c r="E19" s="26">
        <v>5936</v>
      </c>
      <c r="F19" s="26">
        <v>8540</v>
      </c>
      <c r="G19" s="26">
        <v>16426</v>
      </c>
      <c r="H19" s="26">
        <v>14574</v>
      </c>
      <c r="I19" s="26">
        <v>15012</v>
      </c>
      <c r="J19" s="26">
        <v>19409</v>
      </c>
      <c r="K19" s="26">
        <v>19353</v>
      </c>
      <c r="L19" s="26">
        <v>17709</v>
      </c>
      <c r="M19" s="66">
        <v>15693</v>
      </c>
      <c r="N19" s="26">
        <v>13212</v>
      </c>
      <c r="O19" s="66">
        <v>14254</v>
      </c>
      <c r="P19" s="67">
        <f t="shared" si="2"/>
        <v>10365</v>
      </c>
      <c r="Q19" s="26">
        <f t="shared" si="3"/>
        <v>170483</v>
      </c>
      <c r="R19" s="53"/>
      <c r="S19" s="67">
        <f>20365-10000</f>
        <v>10365</v>
      </c>
      <c r="T19" s="257"/>
    </row>
    <row r="20" spans="1:26">
      <c r="A20" s="42"/>
      <c r="B20" s="69" t="s">
        <v>94</v>
      </c>
      <c r="C20" s="64">
        <f t="shared" si="1"/>
        <v>204851</v>
      </c>
      <c r="E20" s="26">
        <v>11849</v>
      </c>
      <c r="F20" s="26">
        <v>16003</v>
      </c>
      <c r="G20" s="26">
        <v>17918</v>
      </c>
      <c r="H20" s="26">
        <v>16706</v>
      </c>
      <c r="I20" s="26">
        <v>21044</v>
      </c>
      <c r="J20" s="26">
        <v>21232</v>
      </c>
      <c r="K20" s="26">
        <v>22340</v>
      </c>
      <c r="L20" s="26">
        <v>17715</v>
      </c>
      <c r="M20" s="66">
        <v>16009</v>
      </c>
      <c r="N20" s="26">
        <v>14870</v>
      </c>
      <c r="O20" s="66">
        <v>16612</v>
      </c>
      <c r="P20" s="67">
        <f t="shared" si="2"/>
        <v>12553</v>
      </c>
      <c r="Q20" s="26">
        <f t="shared" si="3"/>
        <v>204851</v>
      </c>
      <c r="R20" s="53"/>
      <c r="S20" s="67">
        <f>14553-2000</f>
        <v>12553</v>
      </c>
      <c r="T20" s="257"/>
      <c r="Y20" s="27"/>
      <c r="Z20" s="27"/>
    </row>
    <row r="21" spans="1:26">
      <c r="A21" s="42"/>
      <c r="B21" s="75" t="s">
        <v>95</v>
      </c>
      <c r="C21" s="64">
        <f t="shared" si="1"/>
        <v>157404</v>
      </c>
      <c r="E21" s="26">
        <v>8062</v>
      </c>
      <c r="F21" s="26">
        <v>11622</v>
      </c>
      <c r="G21" s="26">
        <v>13258</v>
      </c>
      <c r="H21" s="26">
        <v>11354</v>
      </c>
      <c r="I21" s="26">
        <v>12036</v>
      </c>
      <c r="J21" s="26">
        <v>14116</v>
      </c>
      <c r="K21" s="26">
        <v>14783</v>
      </c>
      <c r="L21" s="26">
        <v>11709</v>
      </c>
      <c r="M21" s="66">
        <v>11742</v>
      </c>
      <c r="N21" s="26">
        <v>12142</v>
      </c>
      <c r="O21" s="66">
        <v>13707</v>
      </c>
      <c r="P21" s="67">
        <f t="shared" si="2"/>
        <v>22873</v>
      </c>
      <c r="Q21" s="26">
        <f t="shared" si="3"/>
        <v>157404</v>
      </c>
      <c r="R21" s="53"/>
      <c r="S21" s="67">
        <v>22873</v>
      </c>
      <c r="T21" s="257"/>
    </row>
    <row r="22" spans="1:26">
      <c r="A22" s="42"/>
      <c r="B22" s="69" t="s">
        <v>96</v>
      </c>
      <c r="C22" s="64">
        <f t="shared" si="1"/>
        <v>165525</v>
      </c>
      <c r="E22" s="26">
        <v>8215</v>
      </c>
      <c r="F22" s="26">
        <v>10343</v>
      </c>
      <c r="G22" s="26">
        <v>13648</v>
      </c>
      <c r="H22" s="26">
        <v>12365</v>
      </c>
      <c r="I22" s="26">
        <v>12870</v>
      </c>
      <c r="J22" s="26">
        <v>16097</v>
      </c>
      <c r="K22" s="26">
        <v>16253</v>
      </c>
      <c r="L22" s="26">
        <v>12025</v>
      </c>
      <c r="M22" s="66">
        <v>12153</v>
      </c>
      <c r="N22" s="26">
        <v>13073</v>
      </c>
      <c r="O22" s="66">
        <v>14002</v>
      </c>
      <c r="P22" s="67">
        <f t="shared" si="2"/>
        <v>24481</v>
      </c>
      <c r="Q22" s="26">
        <f t="shared" si="3"/>
        <v>165525</v>
      </c>
      <c r="R22" s="53"/>
      <c r="S22" s="67">
        <v>24481</v>
      </c>
      <c r="T22" s="257"/>
    </row>
    <row r="23" spans="1:26">
      <c r="A23" s="42"/>
      <c r="B23" s="76" t="s">
        <v>97</v>
      </c>
      <c r="C23" s="64">
        <f t="shared" si="1"/>
        <v>107081</v>
      </c>
      <c r="E23" s="26">
        <v>5222</v>
      </c>
      <c r="F23" s="26">
        <v>6520</v>
      </c>
      <c r="G23" s="26">
        <v>8054</v>
      </c>
      <c r="H23" s="26">
        <v>6715</v>
      </c>
      <c r="I23" s="26">
        <v>8042</v>
      </c>
      <c r="J23" s="26">
        <v>9784</v>
      </c>
      <c r="K23" s="26">
        <v>8147</v>
      </c>
      <c r="L23" s="26">
        <v>7412</v>
      </c>
      <c r="M23" s="66">
        <v>9181</v>
      </c>
      <c r="N23" s="26">
        <v>10076</v>
      </c>
      <c r="O23" s="66">
        <v>9842</v>
      </c>
      <c r="P23" s="67">
        <f t="shared" si="2"/>
        <v>18086</v>
      </c>
      <c r="Q23" s="26">
        <f t="shared" si="3"/>
        <v>107081</v>
      </c>
      <c r="R23" s="53"/>
      <c r="S23" s="67">
        <v>18086</v>
      </c>
      <c r="T23" s="257"/>
    </row>
    <row r="24" spans="1:26">
      <c r="A24" s="42"/>
      <c r="B24" s="69" t="s">
        <v>98</v>
      </c>
      <c r="C24" s="64">
        <f t="shared" si="1"/>
        <v>711412</v>
      </c>
      <c r="E24" s="26">
        <v>153635</v>
      </c>
      <c r="F24" s="26">
        <v>157415</v>
      </c>
      <c r="G24" s="26">
        <v>168730</v>
      </c>
      <c r="H24" s="26">
        <v>20107</v>
      </c>
      <c r="I24" s="26">
        <v>21101</v>
      </c>
      <c r="J24" s="26">
        <v>22705</v>
      </c>
      <c r="K24" s="26">
        <v>24929</v>
      </c>
      <c r="L24" s="26">
        <v>23837</v>
      </c>
      <c r="M24" s="66">
        <v>22593</v>
      </c>
      <c r="N24" s="26">
        <v>23420</v>
      </c>
      <c r="O24" s="66">
        <v>26372</v>
      </c>
      <c r="P24" s="67">
        <f t="shared" si="2"/>
        <v>46568</v>
      </c>
      <c r="Q24" s="26">
        <f t="shared" si="3"/>
        <v>711412</v>
      </c>
      <c r="R24" s="53"/>
      <c r="S24" s="67">
        <f>59431-12863</f>
        <v>46568</v>
      </c>
      <c r="T24" s="257"/>
      <c r="V24" s="40"/>
    </row>
    <row r="25" spans="1:26">
      <c r="B25" s="70" t="s">
        <v>99</v>
      </c>
      <c r="C25" s="64">
        <f t="shared" si="1"/>
        <v>168244</v>
      </c>
      <c r="E25" s="26">
        <v>10097</v>
      </c>
      <c r="F25" s="26">
        <v>11545</v>
      </c>
      <c r="G25" s="77">
        <v>13200</v>
      </c>
      <c r="H25" s="26">
        <v>10654</v>
      </c>
      <c r="I25" s="26">
        <v>11428</v>
      </c>
      <c r="J25" s="26">
        <v>12392</v>
      </c>
      <c r="K25" s="26">
        <v>12366</v>
      </c>
      <c r="L25" s="26">
        <v>12174</v>
      </c>
      <c r="M25" s="66">
        <v>11900</v>
      </c>
      <c r="N25" s="26">
        <v>13248</v>
      </c>
      <c r="O25" s="66">
        <v>16778</v>
      </c>
      <c r="P25" s="67">
        <f t="shared" si="2"/>
        <v>32462</v>
      </c>
      <c r="Q25" s="26">
        <f t="shared" si="3"/>
        <v>168244</v>
      </c>
      <c r="R25" s="53"/>
      <c r="S25" s="67">
        <v>32462</v>
      </c>
      <c r="T25" s="257"/>
    </row>
    <row r="26" spans="1:26">
      <c r="B26" s="69" t="s">
        <v>100</v>
      </c>
      <c r="C26" s="64">
        <f t="shared" si="1"/>
        <v>430312</v>
      </c>
      <c r="E26" s="26">
        <v>82108</v>
      </c>
      <c r="F26" s="65">
        <v>84599</v>
      </c>
      <c r="G26" s="26">
        <v>86583</v>
      </c>
      <c r="H26" s="26">
        <v>10023</v>
      </c>
      <c r="I26" s="26">
        <v>11737</v>
      </c>
      <c r="J26" s="26">
        <v>14309</v>
      </c>
      <c r="K26" s="26">
        <v>22773</v>
      </c>
      <c r="L26" s="26">
        <v>20795</v>
      </c>
      <c r="M26" s="66">
        <v>21650</v>
      </c>
      <c r="N26" s="26">
        <v>25029</v>
      </c>
      <c r="O26" s="66">
        <v>27184</v>
      </c>
      <c r="P26" s="67">
        <f t="shared" si="2"/>
        <v>23522</v>
      </c>
      <c r="Q26" s="26">
        <f t="shared" si="3"/>
        <v>430312</v>
      </c>
      <c r="R26" s="53"/>
      <c r="S26" s="67">
        <f>30522-7000</f>
        <v>23522</v>
      </c>
      <c r="T26" s="257"/>
    </row>
    <row r="27" spans="1:26">
      <c r="A27" s="42"/>
      <c r="B27" s="78" t="s">
        <v>101</v>
      </c>
      <c r="C27" s="64">
        <f t="shared" si="1"/>
        <v>479612</v>
      </c>
      <c r="E27" s="26">
        <v>46576</v>
      </c>
      <c r="F27" s="65">
        <v>60343</v>
      </c>
      <c r="G27" s="26">
        <v>67159</v>
      </c>
      <c r="H27" s="26">
        <v>39412</v>
      </c>
      <c r="I27" s="26">
        <v>39904</v>
      </c>
      <c r="J27" s="26">
        <v>41531</v>
      </c>
      <c r="K27" s="26">
        <v>33982</v>
      </c>
      <c r="L27" s="26">
        <v>27785</v>
      </c>
      <c r="M27" s="66">
        <v>26538</v>
      </c>
      <c r="N27" s="26">
        <v>26584</v>
      </c>
      <c r="O27" s="66">
        <v>32375</v>
      </c>
      <c r="P27" s="67">
        <f t="shared" si="2"/>
        <v>37423</v>
      </c>
      <c r="Q27" s="26">
        <f t="shared" si="3"/>
        <v>479612</v>
      </c>
      <c r="R27" s="53"/>
      <c r="S27" s="67">
        <f>50286-12863</f>
        <v>37423</v>
      </c>
      <c r="T27" s="257"/>
    </row>
    <row r="28" spans="1:26">
      <c r="B28" s="69" t="s">
        <v>102</v>
      </c>
      <c r="C28" s="64">
        <f t="shared" si="1"/>
        <v>190553</v>
      </c>
      <c r="E28" s="26">
        <v>8548</v>
      </c>
      <c r="F28" s="26">
        <v>11155</v>
      </c>
      <c r="G28" s="26">
        <v>15820</v>
      </c>
      <c r="H28" s="26">
        <v>13922</v>
      </c>
      <c r="I28" s="26">
        <v>16741</v>
      </c>
      <c r="J28" s="26">
        <v>21442</v>
      </c>
      <c r="K28" s="26">
        <v>19235</v>
      </c>
      <c r="L28" s="26">
        <v>17665</v>
      </c>
      <c r="M28" s="66">
        <v>16420</v>
      </c>
      <c r="N28" s="26">
        <v>15865</v>
      </c>
      <c r="O28" s="66">
        <v>17962</v>
      </c>
      <c r="P28" s="67">
        <f t="shared" si="2"/>
        <v>15778</v>
      </c>
      <c r="Q28" s="26">
        <f t="shared" si="3"/>
        <v>190553</v>
      </c>
      <c r="R28" s="53"/>
      <c r="S28" s="67">
        <f>33778-18000</f>
        <v>15778</v>
      </c>
      <c r="T28" s="257"/>
      <c r="V28" s="40"/>
      <c r="Y28" s="25"/>
    </row>
    <row r="29" spans="1:26">
      <c r="B29" s="79" t="s">
        <v>103</v>
      </c>
      <c r="C29" s="64">
        <f t="shared" si="1"/>
        <v>122274</v>
      </c>
      <c r="E29" s="26">
        <v>6988</v>
      </c>
      <c r="F29" s="26">
        <v>8226</v>
      </c>
      <c r="G29" s="26">
        <v>10009</v>
      </c>
      <c r="H29" s="26">
        <v>8746</v>
      </c>
      <c r="I29" s="26">
        <v>9506</v>
      </c>
      <c r="J29" s="26">
        <v>9384</v>
      </c>
      <c r="K29" s="26">
        <v>11383</v>
      </c>
      <c r="L29" s="26">
        <v>9969</v>
      </c>
      <c r="M29" s="66">
        <v>11544</v>
      </c>
      <c r="N29" s="26">
        <v>12480</v>
      </c>
      <c r="O29" s="66">
        <v>13954</v>
      </c>
      <c r="P29" s="67">
        <f t="shared" si="2"/>
        <v>10085</v>
      </c>
      <c r="Q29" s="26">
        <f t="shared" si="3"/>
        <v>122274</v>
      </c>
      <c r="R29" s="53"/>
      <c r="S29" s="67">
        <f>20085-10000</f>
        <v>10085</v>
      </c>
      <c r="T29" s="257"/>
    </row>
    <row r="30" spans="1:26">
      <c r="B30" s="79" t="s">
        <v>193</v>
      </c>
      <c r="C30" s="64">
        <f t="shared" si="1"/>
        <v>18366</v>
      </c>
      <c r="E30" s="26"/>
      <c r="F30" s="26"/>
      <c r="G30" s="26"/>
      <c r="H30" s="26"/>
      <c r="I30" s="26"/>
      <c r="J30" s="26"/>
      <c r="K30" s="26"/>
      <c r="L30" s="26"/>
      <c r="M30" s="66"/>
      <c r="N30" s="26"/>
      <c r="O30" s="66"/>
      <c r="P30" s="67">
        <f t="shared" si="2"/>
        <v>18366</v>
      </c>
      <c r="Q30" s="26">
        <f>+P30</f>
        <v>18366</v>
      </c>
      <c r="R30" s="53"/>
      <c r="S30" s="67">
        <f>20366-2000</f>
        <v>18366</v>
      </c>
      <c r="T30" s="257"/>
    </row>
    <row r="31" spans="1:26">
      <c r="B31" s="70" t="s">
        <v>104</v>
      </c>
      <c r="C31" s="64">
        <f t="shared" si="1"/>
        <v>27173</v>
      </c>
      <c r="E31" s="26"/>
      <c r="F31" s="26"/>
      <c r="G31" s="26"/>
      <c r="H31" s="26"/>
      <c r="I31" s="26"/>
      <c r="J31" s="26"/>
      <c r="K31" s="26"/>
      <c r="L31" s="26"/>
      <c r="M31" s="66">
        <v>4221</v>
      </c>
      <c r="N31" s="26">
        <v>7179</v>
      </c>
      <c r="O31" s="66">
        <v>7525</v>
      </c>
      <c r="P31" s="67">
        <f t="shared" si="2"/>
        <v>8248</v>
      </c>
      <c r="Q31" s="26">
        <f t="shared" si="3"/>
        <v>27173</v>
      </c>
      <c r="R31" s="53"/>
      <c r="S31" s="67">
        <v>8248</v>
      </c>
      <c r="T31" s="257"/>
      <c r="V31" s="25"/>
    </row>
    <row r="32" spans="1:26">
      <c r="B32" s="69" t="s">
        <v>105</v>
      </c>
      <c r="C32" s="64">
        <f t="shared" si="1"/>
        <v>161349</v>
      </c>
      <c r="E32" s="26">
        <v>7606</v>
      </c>
      <c r="F32" s="26">
        <v>10115</v>
      </c>
      <c r="G32" s="26">
        <v>13248</v>
      </c>
      <c r="H32" s="26">
        <v>12782</v>
      </c>
      <c r="I32" s="26">
        <v>13518</v>
      </c>
      <c r="J32" s="26">
        <v>13382</v>
      </c>
      <c r="K32" s="26">
        <v>13840</v>
      </c>
      <c r="L32" s="26">
        <v>14646</v>
      </c>
      <c r="M32" s="66">
        <v>13602</v>
      </c>
      <c r="N32" s="26">
        <v>13340</v>
      </c>
      <c r="O32" s="66">
        <v>18572</v>
      </c>
      <c r="P32" s="67">
        <f t="shared" si="2"/>
        <v>16698</v>
      </c>
      <c r="Q32" s="26">
        <f t="shared" si="3"/>
        <v>161349</v>
      </c>
      <c r="R32" s="53"/>
      <c r="S32" s="67">
        <f>28698-12000</f>
        <v>16698</v>
      </c>
      <c r="T32" s="257"/>
    </row>
    <row r="33" spans="1:22">
      <c r="B33" s="70" t="s">
        <v>106</v>
      </c>
      <c r="C33" s="64">
        <f t="shared" si="1"/>
        <v>114709</v>
      </c>
      <c r="E33" s="26">
        <v>5816</v>
      </c>
      <c r="F33" s="26">
        <v>6910</v>
      </c>
      <c r="G33" s="26">
        <v>8117</v>
      </c>
      <c r="H33" s="26">
        <v>7106</v>
      </c>
      <c r="I33" s="26">
        <v>7875</v>
      </c>
      <c r="J33" s="26">
        <v>8692</v>
      </c>
      <c r="K33" s="26">
        <v>12237</v>
      </c>
      <c r="L33" s="26">
        <v>11281</v>
      </c>
      <c r="M33" s="66">
        <v>10485</v>
      </c>
      <c r="N33" s="26">
        <v>10275</v>
      </c>
      <c r="O33" s="66">
        <v>11805</v>
      </c>
      <c r="P33" s="67">
        <f t="shared" si="2"/>
        <v>14110</v>
      </c>
      <c r="Q33" s="26">
        <f t="shared" si="3"/>
        <v>114709</v>
      </c>
      <c r="R33" s="53"/>
      <c r="S33" s="67">
        <v>14110</v>
      </c>
      <c r="T33" s="257"/>
      <c r="V33" s="247"/>
    </row>
    <row r="34" spans="1:22" ht="13.5" customHeight="1">
      <c r="B34" s="69" t="s">
        <v>107</v>
      </c>
      <c r="C34" s="64">
        <f t="shared" si="1"/>
        <v>266051</v>
      </c>
      <c r="E34" s="26">
        <v>13685</v>
      </c>
      <c r="F34" s="26">
        <v>18535</v>
      </c>
      <c r="G34" s="26">
        <v>21347</v>
      </c>
      <c r="H34" s="26">
        <v>19858</v>
      </c>
      <c r="I34" s="26">
        <v>23559</v>
      </c>
      <c r="J34" s="26">
        <v>24200</v>
      </c>
      <c r="K34" s="26">
        <v>34461</v>
      </c>
      <c r="L34" s="26">
        <v>28214</v>
      </c>
      <c r="M34" s="66">
        <v>19731</v>
      </c>
      <c r="N34" s="26">
        <v>19765</v>
      </c>
      <c r="O34" s="66">
        <v>21209</v>
      </c>
      <c r="P34" s="67">
        <f t="shared" si="2"/>
        <v>21487</v>
      </c>
      <c r="Q34" s="26">
        <f t="shared" si="3"/>
        <v>266051</v>
      </c>
      <c r="R34" s="53"/>
      <c r="S34" s="67">
        <f>41487-20000</f>
        <v>21487</v>
      </c>
      <c r="T34" s="257"/>
      <c r="V34" s="25"/>
    </row>
    <row r="35" spans="1:22" ht="15" customHeight="1">
      <c r="B35" s="80" t="s">
        <v>108</v>
      </c>
      <c r="C35" s="64">
        <f t="shared" si="1"/>
        <v>43228</v>
      </c>
      <c r="E35" s="26"/>
      <c r="F35" s="26"/>
      <c r="G35" s="26"/>
      <c r="H35" s="26"/>
      <c r="I35" s="26"/>
      <c r="J35" s="26"/>
      <c r="K35" s="26"/>
      <c r="L35" s="26"/>
      <c r="M35" s="66">
        <v>6582</v>
      </c>
      <c r="N35" s="26">
        <v>7121</v>
      </c>
      <c r="O35" s="66">
        <v>8579</v>
      </c>
      <c r="P35" s="67">
        <f t="shared" si="2"/>
        <v>20946</v>
      </c>
      <c r="Q35" s="26">
        <f t="shared" si="3"/>
        <v>43228</v>
      </c>
      <c r="R35" s="53"/>
      <c r="S35" s="67">
        <v>20946</v>
      </c>
      <c r="T35" s="257"/>
    </row>
    <row r="36" spans="1:22" ht="15" customHeight="1">
      <c r="B36" s="80" t="s">
        <v>109</v>
      </c>
      <c r="C36" s="64">
        <f t="shared" si="1"/>
        <v>48753</v>
      </c>
      <c r="E36" s="26"/>
      <c r="F36" s="26"/>
      <c r="G36" s="26"/>
      <c r="H36" s="26"/>
      <c r="I36" s="26"/>
      <c r="J36" s="26"/>
      <c r="K36" s="26"/>
      <c r="L36" s="26"/>
      <c r="M36" s="66">
        <v>2222</v>
      </c>
      <c r="N36" s="26">
        <v>9492</v>
      </c>
      <c r="O36" s="66">
        <v>11409</v>
      </c>
      <c r="P36" s="67">
        <f t="shared" si="2"/>
        <v>25630</v>
      </c>
      <c r="Q36" s="26">
        <f t="shared" si="3"/>
        <v>48753</v>
      </c>
      <c r="R36" s="53"/>
      <c r="S36" s="67">
        <f>23045+2585</f>
        <v>25630</v>
      </c>
      <c r="T36" s="257"/>
    </row>
    <row r="37" spans="1:22">
      <c r="A37" s="42"/>
      <c r="B37" s="78" t="s">
        <v>110</v>
      </c>
      <c r="C37" s="64">
        <f t="shared" si="1"/>
        <v>465330</v>
      </c>
      <c r="E37" s="26">
        <v>94541</v>
      </c>
      <c r="F37" s="26">
        <v>97471</v>
      </c>
      <c r="G37" s="26">
        <v>100036</v>
      </c>
      <c r="H37" s="26">
        <v>17270</v>
      </c>
      <c r="I37" s="26">
        <v>18699</v>
      </c>
      <c r="J37" s="26">
        <v>18267</v>
      </c>
      <c r="K37" s="26">
        <v>22112</v>
      </c>
      <c r="L37" s="26">
        <v>17598</v>
      </c>
      <c r="M37" s="66">
        <v>17862</v>
      </c>
      <c r="N37" s="26">
        <v>19550</v>
      </c>
      <c r="O37" s="66">
        <v>21913</v>
      </c>
      <c r="P37" s="67">
        <f t="shared" si="2"/>
        <v>20011</v>
      </c>
      <c r="Q37" s="26">
        <f t="shared" si="3"/>
        <v>465330</v>
      </c>
      <c r="R37" s="53"/>
      <c r="S37" s="67">
        <f>28011-8000</f>
        <v>20011</v>
      </c>
      <c r="T37" s="257"/>
    </row>
    <row r="38" spans="1:22">
      <c r="A38" s="42"/>
      <c r="B38" s="73" t="s">
        <v>111</v>
      </c>
      <c r="C38" s="64">
        <f t="shared" si="1"/>
        <v>172320</v>
      </c>
      <c r="E38" s="26">
        <v>9936</v>
      </c>
      <c r="F38" s="26">
        <v>12538</v>
      </c>
      <c r="G38" s="26">
        <v>14380</v>
      </c>
      <c r="H38" s="26">
        <v>13242</v>
      </c>
      <c r="I38" s="26">
        <v>13950</v>
      </c>
      <c r="J38" s="26">
        <v>13894</v>
      </c>
      <c r="K38" s="26">
        <v>14479</v>
      </c>
      <c r="L38" s="26">
        <v>14019</v>
      </c>
      <c r="M38" s="66">
        <v>14604</v>
      </c>
      <c r="N38" s="26">
        <v>17101</v>
      </c>
      <c r="O38" s="66">
        <v>17744</v>
      </c>
      <c r="P38" s="67">
        <f t="shared" si="2"/>
        <v>16433</v>
      </c>
      <c r="Q38" s="26">
        <f t="shared" si="3"/>
        <v>172320</v>
      </c>
      <c r="R38" s="53"/>
      <c r="S38" s="67">
        <f>21433-5000</f>
        <v>16433</v>
      </c>
      <c r="T38" s="257"/>
    </row>
    <row r="39" spans="1:22">
      <c r="A39" s="42"/>
      <c r="B39" s="81" t="s">
        <v>112</v>
      </c>
      <c r="C39" s="64">
        <f t="shared" si="1"/>
        <v>511637</v>
      </c>
      <c r="E39" s="26">
        <v>83897</v>
      </c>
      <c r="F39" s="26">
        <v>97663</v>
      </c>
      <c r="G39" s="26">
        <v>104892</v>
      </c>
      <c r="H39" s="26">
        <v>18309</v>
      </c>
      <c r="I39" s="26">
        <v>18531</v>
      </c>
      <c r="J39" s="26">
        <v>20788</v>
      </c>
      <c r="K39" s="26">
        <v>23814</v>
      </c>
      <c r="L39" s="26">
        <v>25170</v>
      </c>
      <c r="M39" s="66">
        <v>25985</v>
      </c>
      <c r="N39" s="26">
        <v>26398</v>
      </c>
      <c r="O39" s="66">
        <v>29098</v>
      </c>
      <c r="P39" s="67">
        <f t="shared" si="2"/>
        <v>37092</v>
      </c>
      <c r="Q39" s="26">
        <f t="shared" si="3"/>
        <v>511637</v>
      </c>
      <c r="R39" s="53"/>
      <c r="S39" s="67">
        <f>38592-1500</f>
        <v>37092</v>
      </c>
      <c r="T39" s="257"/>
    </row>
    <row r="40" spans="1:22">
      <c r="A40" s="42"/>
      <c r="B40" s="73" t="s">
        <v>113</v>
      </c>
      <c r="C40" s="64">
        <f t="shared" si="1"/>
        <v>89158</v>
      </c>
      <c r="E40" s="26">
        <v>4567</v>
      </c>
      <c r="F40" s="26">
        <v>6195</v>
      </c>
      <c r="G40" s="26">
        <v>7780</v>
      </c>
      <c r="H40" s="26">
        <v>6787</v>
      </c>
      <c r="I40" s="26">
        <v>6513</v>
      </c>
      <c r="J40" s="26">
        <v>6379</v>
      </c>
      <c r="K40" s="26">
        <v>8087</v>
      </c>
      <c r="L40" s="26">
        <v>7289</v>
      </c>
      <c r="M40" s="66">
        <v>7371</v>
      </c>
      <c r="N40" s="26">
        <v>7361</v>
      </c>
      <c r="O40" s="66">
        <v>10241</v>
      </c>
      <c r="P40" s="67">
        <f t="shared" si="2"/>
        <v>10588</v>
      </c>
      <c r="Q40" s="26">
        <f t="shared" si="3"/>
        <v>89158</v>
      </c>
      <c r="R40" s="53"/>
      <c r="S40" s="67">
        <f>16588-6000</f>
        <v>10588</v>
      </c>
      <c r="T40" s="257"/>
    </row>
    <row r="41" spans="1:22">
      <c r="B41" s="79" t="s">
        <v>114</v>
      </c>
      <c r="C41" s="64">
        <f t="shared" si="1"/>
        <v>154217</v>
      </c>
      <c r="E41" s="26">
        <v>8634</v>
      </c>
      <c r="F41" s="26">
        <v>12252</v>
      </c>
      <c r="G41" s="26">
        <v>14755</v>
      </c>
      <c r="H41" s="26">
        <v>13640</v>
      </c>
      <c r="I41" s="26">
        <v>14098</v>
      </c>
      <c r="J41" s="26">
        <v>13688</v>
      </c>
      <c r="K41" s="26">
        <v>13772</v>
      </c>
      <c r="L41" s="26">
        <v>12073</v>
      </c>
      <c r="M41" s="66">
        <v>13051</v>
      </c>
      <c r="N41" s="26">
        <v>12967</v>
      </c>
      <c r="O41" s="66">
        <v>13275</v>
      </c>
      <c r="P41" s="67">
        <f t="shared" si="2"/>
        <v>12012</v>
      </c>
      <c r="Q41" s="26">
        <f t="shared" si="3"/>
        <v>154217</v>
      </c>
      <c r="R41" s="53"/>
      <c r="S41" s="67">
        <f>17012-5000</f>
        <v>12012</v>
      </c>
      <c r="T41" s="257"/>
    </row>
    <row r="42" spans="1:22">
      <c r="A42" s="42"/>
      <c r="B42" s="82" t="s">
        <v>115</v>
      </c>
      <c r="C42" s="64">
        <f t="shared" si="1"/>
        <v>360227</v>
      </c>
      <c r="E42" s="26">
        <v>8121</v>
      </c>
      <c r="F42" s="65">
        <v>8460</v>
      </c>
      <c r="G42" s="26">
        <v>10015</v>
      </c>
      <c r="H42" s="26">
        <v>25162</v>
      </c>
      <c r="I42" s="26">
        <v>44276</v>
      </c>
      <c r="J42" s="26">
        <v>48492</v>
      </c>
      <c r="K42" s="26">
        <v>47371</v>
      </c>
      <c r="L42" s="26">
        <v>35151</v>
      </c>
      <c r="M42" s="66">
        <v>28937</v>
      </c>
      <c r="N42" s="26">
        <v>40052</v>
      </c>
      <c r="O42" s="66">
        <v>34289</v>
      </c>
      <c r="P42" s="67">
        <f t="shared" si="2"/>
        <v>29901</v>
      </c>
      <c r="Q42" s="26">
        <f t="shared" si="3"/>
        <v>360227</v>
      </c>
      <c r="R42" s="53"/>
      <c r="S42" s="67">
        <v>29901</v>
      </c>
      <c r="T42" s="257"/>
    </row>
    <row r="43" spans="1:22">
      <c r="A43" s="42"/>
      <c r="B43" s="78" t="s">
        <v>116</v>
      </c>
      <c r="C43" s="64">
        <f t="shared" si="1"/>
        <v>112451</v>
      </c>
      <c r="E43" s="26">
        <v>6629</v>
      </c>
      <c r="F43" s="26">
        <v>9618</v>
      </c>
      <c r="G43" s="26">
        <v>10623</v>
      </c>
      <c r="H43" s="26">
        <v>8226</v>
      </c>
      <c r="I43" s="26">
        <v>8764</v>
      </c>
      <c r="J43" s="26">
        <v>8985</v>
      </c>
      <c r="K43" s="26">
        <v>10135</v>
      </c>
      <c r="L43" s="26">
        <v>9664</v>
      </c>
      <c r="M43" s="66">
        <v>8877</v>
      </c>
      <c r="N43" s="26">
        <v>10068</v>
      </c>
      <c r="O43" s="66">
        <v>10643</v>
      </c>
      <c r="P43" s="67">
        <f t="shared" si="2"/>
        <v>10219</v>
      </c>
      <c r="Q43" s="26">
        <f t="shared" si="3"/>
        <v>112451</v>
      </c>
      <c r="R43" s="53"/>
      <c r="S43" s="67">
        <f>13219-3000</f>
        <v>10219</v>
      </c>
      <c r="T43" s="257"/>
    </row>
    <row r="44" spans="1:22">
      <c r="B44" s="69" t="s">
        <v>117</v>
      </c>
      <c r="C44" s="64">
        <f t="shared" si="1"/>
        <v>140051</v>
      </c>
      <c r="E44" s="26">
        <v>4781</v>
      </c>
      <c r="F44" s="26">
        <v>6124</v>
      </c>
      <c r="G44" s="26">
        <v>8664</v>
      </c>
      <c r="H44" s="26">
        <v>8218</v>
      </c>
      <c r="I44" s="26">
        <v>10904</v>
      </c>
      <c r="J44" s="26">
        <v>12020</v>
      </c>
      <c r="K44" s="26">
        <v>12992</v>
      </c>
      <c r="L44" s="26">
        <v>13023</v>
      </c>
      <c r="M44" s="66">
        <v>12586</v>
      </c>
      <c r="N44" s="26">
        <v>12005</v>
      </c>
      <c r="O44" s="66">
        <v>13427</v>
      </c>
      <c r="P44" s="67">
        <f t="shared" si="2"/>
        <v>25307</v>
      </c>
      <c r="Q44" s="26">
        <f t="shared" si="3"/>
        <v>140051</v>
      </c>
      <c r="R44" s="53"/>
      <c r="S44" s="67">
        <v>25307</v>
      </c>
      <c r="T44" s="257"/>
    </row>
    <row r="45" spans="1:22">
      <c r="A45" s="42"/>
      <c r="B45" s="70" t="s">
        <v>118</v>
      </c>
      <c r="C45" s="64">
        <f t="shared" si="1"/>
        <v>231431</v>
      </c>
      <c r="E45" s="26">
        <v>26874</v>
      </c>
      <c r="F45" s="26">
        <v>28529</v>
      </c>
      <c r="G45" s="26">
        <v>35739</v>
      </c>
      <c r="H45" s="26">
        <v>15205</v>
      </c>
      <c r="I45" s="26">
        <v>16329</v>
      </c>
      <c r="J45" s="26">
        <v>17035</v>
      </c>
      <c r="K45" s="26">
        <v>23167</v>
      </c>
      <c r="L45" s="26">
        <v>17694</v>
      </c>
      <c r="M45" s="66">
        <v>11917</v>
      </c>
      <c r="N45" s="26">
        <v>12410</v>
      </c>
      <c r="O45" s="66">
        <v>12922</v>
      </c>
      <c r="P45" s="67">
        <f t="shared" si="2"/>
        <v>13610</v>
      </c>
      <c r="Q45" s="26">
        <f t="shared" si="3"/>
        <v>231431</v>
      </c>
      <c r="R45" s="53"/>
      <c r="S45" s="67">
        <f>32610-19000</f>
        <v>13610</v>
      </c>
      <c r="T45" s="257"/>
    </row>
    <row r="46" spans="1:22">
      <c r="A46" s="42"/>
      <c r="B46" s="63" t="s">
        <v>119</v>
      </c>
      <c r="C46" s="64">
        <f t="shared" si="1"/>
        <v>144877</v>
      </c>
      <c r="E46" s="26">
        <v>7270</v>
      </c>
      <c r="F46" s="26">
        <v>9926</v>
      </c>
      <c r="G46" s="26">
        <v>13283</v>
      </c>
      <c r="H46" s="26">
        <v>10680</v>
      </c>
      <c r="I46" s="26">
        <v>11253</v>
      </c>
      <c r="J46" s="26">
        <v>11401</v>
      </c>
      <c r="K46" s="26">
        <v>12614</v>
      </c>
      <c r="L46" s="26">
        <v>11792</v>
      </c>
      <c r="M46" s="66">
        <v>10913</v>
      </c>
      <c r="N46" s="26">
        <v>12267</v>
      </c>
      <c r="O46" s="66">
        <v>12640</v>
      </c>
      <c r="P46" s="67">
        <f t="shared" si="2"/>
        <v>20838</v>
      </c>
      <c r="Q46" s="26">
        <f t="shared" si="3"/>
        <v>144877</v>
      </c>
      <c r="R46" s="53"/>
      <c r="S46" s="67">
        <v>20838</v>
      </c>
      <c r="T46" s="257"/>
    </row>
    <row r="47" spans="1:22">
      <c r="A47" s="42"/>
      <c r="B47" s="70" t="s">
        <v>120</v>
      </c>
      <c r="C47" s="64">
        <f t="shared" si="1"/>
        <v>130461</v>
      </c>
      <c r="E47" s="26">
        <v>7441</v>
      </c>
      <c r="F47" s="26">
        <v>10032</v>
      </c>
      <c r="G47" s="26">
        <v>13372</v>
      </c>
      <c r="H47" s="26">
        <v>9840</v>
      </c>
      <c r="I47" s="26">
        <v>11264</v>
      </c>
      <c r="J47" s="26">
        <v>11972</v>
      </c>
      <c r="K47" s="26">
        <v>11799</v>
      </c>
      <c r="L47" s="26">
        <v>9778</v>
      </c>
      <c r="M47" s="66">
        <v>10338</v>
      </c>
      <c r="N47" s="26">
        <v>11452</v>
      </c>
      <c r="O47" s="66">
        <v>11883</v>
      </c>
      <c r="P47" s="67">
        <f t="shared" si="2"/>
        <v>11290</v>
      </c>
      <c r="Q47" s="26">
        <f t="shared" si="3"/>
        <v>130461</v>
      </c>
      <c r="R47" s="53"/>
      <c r="S47" s="67">
        <f>17290-6000</f>
        <v>11290</v>
      </c>
      <c r="T47" s="257"/>
      <c r="V47" s="40"/>
    </row>
    <row r="48" spans="1:22">
      <c r="A48" s="42"/>
      <c r="B48" s="69" t="s">
        <v>121</v>
      </c>
      <c r="C48" s="64">
        <f t="shared" si="1"/>
        <v>122871</v>
      </c>
      <c r="E48" s="26">
        <v>5403</v>
      </c>
      <c r="F48" s="26">
        <v>6878</v>
      </c>
      <c r="G48" s="26">
        <v>9267</v>
      </c>
      <c r="H48" s="26">
        <v>8309</v>
      </c>
      <c r="I48" s="26">
        <v>8957</v>
      </c>
      <c r="J48" s="26">
        <v>9178</v>
      </c>
      <c r="K48" s="26">
        <v>10060</v>
      </c>
      <c r="L48" s="26">
        <v>9827</v>
      </c>
      <c r="M48" s="66">
        <v>11036</v>
      </c>
      <c r="N48" s="26">
        <v>11910</v>
      </c>
      <c r="O48" s="66">
        <v>14076</v>
      </c>
      <c r="P48" s="67">
        <f t="shared" si="2"/>
        <v>17970</v>
      </c>
      <c r="Q48" s="26">
        <f t="shared" si="3"/>
        <v>122871</v>
      </c>
      <c r="R48" s="53"/>
      <c r="S48" s="67">
        <v>17970</v>
      </c>
      <c r="T48" s="257"/>
      <c r="V48" s="40"/>
    </row>
    <row r="49" spans="1:23">
      <c r="A49" s="42"/>
      <c r="B49" s="70" t="s">
        <v>205</v>
      </c>
      <c r="C49" s="64">
        <f t="shared" si="1"/>
        <v>194766</v>
      </c>
      <c r="E49" s="26">
        <v>14712</v>
      </c>
      <c r="F49" s="26">
        <v>16293</v>
      </c>
      <c r="G49" s="26">
        <v>14291</v>
      </c>
      <c r="H49" s="26">
        <v>12250</v>
      </c>
      <c r="I49" s="26">
        <v>16241</v>
      </c>
      <c r="J49" s="26">
        <v>17190</v>
      </c>
      <c r="K49" s="26">
        <v>17378</v>
      </c>
      <c r="L49" s="26">
        <v>15828</v>
      </c>
      <c r="M49" s="66">
        <v>15591</v>
      </c>
      <c r="N49" s="26">
        <v>16603</v>
      </c>
      <c r="O49" s="66">
        <v>19923</v>
      </c>
      <c r="P49" s="67">
        <f t="shared" si="2"/>
        <v>18466</v>
      </c>
      <c r="Q49" s="26">
        <f t="shared" si="3"/>
        <v>194766</v>
      </c>
      <c r="R49" s="53"/>
      <c r="S49" s="67">
        <f>26466-8000</f>
        <v>18466</v>
      </c>
      <c r="T49" s="257"/>
    </row>
    <row r="50" spans="1:23">
      <c r="A50" s="42"/>
      <c r="B50" s="69" t="s">
        <v>122</v>
      </c>
      <c r="C50" s="64">
        <f t="shared" si="1"/>
        <v>133317</v>
      </c>
      <c r="E50" s="26">
        <v>6283</v>
      </c>
      <c r="F50" s="26">
        <v>8636</v>
      </c>
      <c r="G50" s="26">
        <v>11004</v>
      </c>
      <c r="H50" s="26">
        <v>9648</v>
      </c>
      <c r="I50" s="26">
        <v>11578</v>
      </c>
      <c r="J50" s="26">
        <v>12520</v>
      </c>
      <c r="K50" s="26">
        <v>12924</v>
      </c>
      <c r="L50" s="26">
        <v>12194</v>
      </c>
      <c r="M50" s="66">
        <v>11755</v>
      </c>
      <c r="N50" s="26">
        <v>10770</v>
      </c>
      <c r="O50" s="66">
        <v>12852</v>
      </c>
      <c r="P50" s="67">
        <f t="shared" si="2"/>
        <v>13153</v>
      </c>
      <c r="Q50" s="26">
        <f t="shared" si="3"/>
        <v>133317</v>
      </c>
      <c r="R50" s="53"/>
      <c r="S50" s="67">
        <f>23153-10000</f>
        <v>13153</v>
      </c>
      <c r="T50" s="257"/>
    </row>
    <row r="51" spans="1:23">
      <c r="B51" s="70" t="s">
        <v>123</v>
      </c>
      <c r="C51" s="64">
        <f t="shared" si="1"/>
        <v>140958</v>
      </c>
      <c r="E51" s="26">
        <v>8119</v>
      </c>
      <c r="F51" s="26">
        <v>9499</v>
      </c>
      <c r="G51" s="26">
        <v>11196</v>
      </c>
      <c r="H51" s="26">
        <v>9926</v>
      </c>
      <c r="I51" s="26">
        <v>10510</v>
      </c>
      <c r="J51" s="26">
        <v>10677</v>
      </c>
      <c r="K51" s="26">
        <v>12514</v>
      </c>
      <c r="L51" s="26">
        <v>12787</v>
      </c>
      <c r="M51" s="66">
        <v>10906</v>
      </c>
      <c r="N51" s="26">
        <v>10861</v>
      </c>
      <c r="O51" s="66">
        <v>12195</v>
      </c>
      <c r="P51" s="67">
        <f t="shared" si="2"/>
        <v>21768</v>
      </c>
      <c r="Q51" s="26">
        <f t="shared" si="3"/>
        <v>140958</v>
      </c>
      <c r="R51" s="53"/>
      <c r="S51" s="67">
        <f>23968-2200</f>
        <v>21768</v>
      </c>
      <c r="T51" s="257"/>
    </row>
    <row r="52" spans="1:23">
      <c r="A52" s="42"/>
      <c r="B52" s="69" t="s">
        <v>124</v>
      </c>
      <c r="C52" s="64">
        <f t="shared" si="1"/>
        <v>200768</v>
      </c>
      <c r="E52" s="26">
        <v>12780</v>
      </c>
      <c r="F52" s="26">
        <v>18900</v>
      </c>
      <c r="G52" s="26">
        <v>21758</v>
      </c>
      <c r="H52" s="26">
        <v>18349</v>
      </c>
      <c r="I52" s="26">
        <v>16136</v>
      </c>
      <c r="J52" s="26">
        <v>18115</v>
      </c>
      <c r="K52" s="26">
        <v>17698</v>
      </c>
      <c r="L52" s="26">
        <v>16754</v>
      </c>
      <c r="M52" s="66">
        <v>15829</v>
      </c>
      <c r="N52" s="26">
        <v>15354</v>
      </c>
      <c r="O52" s="66">
        <v>15468</v>
      </c>
      <c r="P52" s="67">
        <f t="shared" si="2"/>
        <v>13627</v>
      </c>
      <c r="Q52" s="26">
        <f t="shared" si="3"/>
        <v>200768</v>
      </c>
      <c r="R52" s="53"/>
      <c r="S52" s="67">
        <f>30627-17000</f>
        <v>13627</v>
      </c>
      <c r="T52" s="257"/>
    </row>
    <row r="53" spans="1:23">
      <c r="A53" s="42"/>
      <c r="B53" s="69" t="s">
        <v>194</v>
      </c>
      <c r="C53" s="64">
        <f t="shared" si="1"/>
        <v>10693</v>
      </c>
      <c r="E53" s="26"/>
      <c r="F53" s="26"/>
      <c r="G53" s="26"/>
      <c r="H53" s="26"/>
      <c r="I53" s="26"/>
      <c r="J53" s="26"/>
      <c r="K53" s="26"/>
      <c r="L53" s="26"/>
      <c r="M53" s="66"/>
      <c r="N53" s="26"/>
      <c r="O53" s="66"/>
      <c r="P53" s="67">
        <f t="shared" si="2"/>
        <v>10693</v>
      </c>
      <c r="Q53" s="26">
        <f>+P53</f>
        <v>10693</v>
      </c>
      <c r="R53" s="53"/>
      <c r="S53" s="67">
        <f>13693-3000</f>
        <v>10693</v>
      </c>
      <c r="T53" s="257"/>
      <c r="U53" s="46"/>
      <c r="V53" s="25"/>
    </row>
    <row r="54" spans="1:23">
      <c r="B54" s="70" t="s">
        <v>125</v>
      </c>
      <c r="C54" s="64">
        <f t="shared" si="1"/>
        <v>216362</v>
      </c>
      <c r="E54" s="26">
        <v>9520</v>
      </c>
      <c r="F54" s="66">
        <v>11972</v>
      </c>
      <c r="G54" s="26">
        <v>12959</v>
      </c>
      <c r="H54" s="26">
        <v>14029</v>
      </c>
      <c r="I54" s="26">
        <v>19470</v>
      </c>
      <c r="J54" s="26">
        <v>12217</v>
      </c>
      <c r="K54" s="26">
        <v>22849</v>
      </c>
      <c r="L54" s="26">
        <v>23343</v>
      </c>
      <c r="M54" s="66">
        <v>23499</v>
      </c>
      <c r="N54" s="26">
        <v>21824</v>
      </c>
      <c r="O54" s="66">
        <f>24619-400</f>
        <v>24219</v>
      </c>
      <c r="P54" s="67">
        <f t="shared" si="2"/>
        <v>20461</v>
      </c>
      <c r="Q54" s="26">
        <f t="shared" si="3"/>
        <v>216362</v>
      </c>
      <c r="R54" s="53"/>
      <c r="S54" s="67">
        <v>20461</v>
      </c>
      <c r="T54" s="257"/>
      <c r="U54" s="46"/>
    </row>
    <row r="55" spans="1:23">
      <c r="B55" s="83" t="s">
        <v>126</v>
      </c>
      <c r="C55" s="308">
        <f>SUM(C9:C54)</f>
        <v>13673247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67"/>
      <c r="Q55" s="26"/>
      <c r="R55" s="53"/>
      <c r="S55" s="53"/>
      <c r="T55" s="257">
        <f>SUM(T9:T54)</f>
        <v>0</v>
      </c>
      <c r="U55" s="46"/>
      <c r="V55" s="25"/>
    </row>
    <row r="56" spans="1:23" ht="9" hidden="1" customHeight="1">
      <c r="A56" s="42"/>
      <c r="B56" s="84"/>
      <c r="C56" s="309"/>
      <c r="D56" s="85"/>
      <c r="E56" s="86">
        <f t="shared" ref="E56:O56" si="4">SUM(E9:E55)</f>
        <v>1620552</v>
      </c>
      <c r="F56" s="86">
        <f t="shared" si="4"/>
        <v>1801249</v>
      </c>
      <c r="G56" s="86">
        <f t="shared" si="4"/>
        <v>1985691</v>
      </c>
      <c r="H56" s="86">
        <f t="shared" si="4"/>
        <v>779819</v>
      </c>
      <c r="I56" s="86">
        <f t="shared" si="4"/>
        <v>861891</v>
      </c>
      <c r="J56" s="86">
        <f t="shared" si="4"/>
        <v>937728</v>
      </c>
      <c r="K56" s="86">
        <f t="shared" si="4"/>
        <v>973738</v>
      </c>
      <c r="L56" s="86">
        <f t="shared" si="4"/>
        <v>828619</v>
      </c>
      <c r="M56" s="86">
        <f t="shared" si="4"/>
        <v>818819</v>
      </c>
      <c r="N56" s="86">
        <f t="shared" si="4"/>
        <v>909247</v>
      </c>
      <c r="O56" s="86">
        <f t="shared" si="4"/>
        <v>992964</v>
      </c>
      <c r="P56" s="87"/>
      <c r="Q56" s="88">
        <f t="shared" ref="Q56" si="5">SUM(F56:P56)</f>
        <v>10889765</v>
      </c>
      <c r="R56" s="89"/>
      <c r="S56" s="89"/>
    </row>
    <row r="57" spans="1:23">
      <c r="A57" s="42"/>
      <c r="B57" s="90"/>
      <c r="C57" s="297">
        <f>+C6+C55</f>
        <v>15709882</v>
      </c>
      <c r="D57" s="91"/>
      <c r="E57" s="60">
        <f t="shared" ref="E57:O57" si="6">SUM(E56)</f>
        <v>1620552</v>
      </c>
      <c r="F57" s="92">
        <f t="shared" si="6"/>
        <v>1801249</v>
      </c>
      <c r="G57" s="88">
        <f t="shared" si="6"/>
        <v>1985691</v>
      </c>
      <c r="H57" s="88">
        <f t="shared" si="6"/>
        <v>779819</v>
      </c>
      <c r="I57" s="88">
        <f t="shared" si="6"/>
        <v>861891</v>
      </c>
      <c r="J57" s="88">
        <f t="shared" si="6"/>
        <v>937728</v>
      </c>
      <c r="K57" s="88">
        <f t="shared" si="6"/>
        <v>973738</v>
      </c>
      <c r="L57" s="88">
        <f t="shared" si="6"/>
        <v>828619</v>
      </c>
      <c r="M57" s="88">
        <f t="shared" si="6"/>
        <v>818819</v>
      </c>
      <c r="N57" s="88">
        <f t="shared" si="6"/>
        <v>909247</v>
      </c>
      <c r="O57" s="88">
        <f t="shared" si="6"/>
        <v>992964</v>
      </c>
      <c r="P57" s="93">
        <f>SUM(P9:P56)</f>
        <v>1162930</v>
      </c>
      <c r="Q57" s="88">
        <f>SUM(E57:P57)</f>
        <v>13673247</v>
      </c>
      <c r="R57" s="53"/>
      <c r="S57" s="53"/>
      <c r="T57" s="27"/>
      <c r="V57" s="25"/>
    </row>
    <row r="58" spans="1:23">
      <c r="A58" s="42"/>
      <c r="B58" s="94" t="s">
        <v>58</v>
      </c>
      <c r="C58" s="298"/>
      <c r="D58" s="56"/>
      <c r="E58" s="26"/>
      <c r="F58" s="26"/>
      <c r="G58" s="26"/>
      <c r="H58" s="26"/>
      <c r="I58" s="26"/>
      <c r="J58" s="26"/>
      <c r="K58" s="26"/>
      <c r="L58" s="26"/>
      <c r="M58" s="26"/>
      <c r="N58" s="26" t="s">
        <v>199</v>
      </c>
      <c r="O58" s="26"/>
      <c r="P58" s="67"/>
      <c r="Q58" s="26"/>
      <c r="R58" s="53"/>
      <c r="S58" s="53"/>
      <c r="T58" s="27"/>
    </row>
    <row r="59" spans="1:23">
      <c r="B59" s="42"/>
      <c r="C59" s="42"/>
      <c r="D59" s="46" t="s">
        <v>127</v>
      </c>
      <c r="E59" s="95">
        <f t="shared" ref="E59:L59" si="7">+E6+E57</f>
        <v>1783535</v>
      </c>
      <c r="F59" s="95">
        <f t="shared" si="7"/>
        <v>1947931</v>
      </c>
      <c r="G59" s="95">
        <f t="shared" si="7"/>
        <v>2169695</v>
      </c>
      <c r="H59" s="95">
        <f t="shared" si="7"/>
        <v>1001151</v>
      </c>
      <c r="I59" s="95">
        <f t="shared" si="7"/>
        <v>1055849</v>
      </c>
      <c r="J59" s="95">
        <f t="shared" si="7"/>
        <v>1042149</v>
      </c>
      <c r="K59" s="95">
        <f t="shared" si="7"/>
        <v>1109222</v>
      </c>
      <c r="L59" s="95">
        <f t="shared" si="7"/>
        <v>1001808</v>
      </c>
      <c r="M59" s="95">
        <f>+M6+M57</f>
        <v>980029</v>
      </c>
      <c r="N59" s="95">
        <f>+N6+N57</f>
        <v>1071555</v>
      </c>
      <c r="O59" s="95">
        <f>+O6+O57</f>
        <v>1179185</v>
      </c>
      <c r="P59" s="96">
        <f>+P6+P57+P58</f>
        <v>1367773</v>
      </c>
      <c r="Q59" s="95">
        <f>+Q57+Q6</f>
        <v>15709882</v>
      </c>
      <c r="R59" s="97"/>
      <c r="S59" s="97"/>
      <c r="U59" s="23"/>
      <c r="W59" s="25"/>
    </row>
    <row r="60" spans="1:23">
      <c r="B60" s="98" t="s">
        <v>200</v>
      </c>
      <c r="C60" s="25"/>
      <c r="D60" s="85"/>
      <c r="E60" s="99"/>
      <c r="F60" s="62"/>
      <c r="G60" s="62"/>
      <c r="H60" s="100"/>
      <c r="I60" s="62"/>
      <c r="J60" s="62"/>
      <c r="K60" s="62"/>
      <c r="L60" s="62"/>
      <c r="M60" s="99"/>
      <c r="N60" s="62"/>
      <c r="O60" s="62"/>
      <c r="P60" s="62"/>
      <c r="Q60" s="62"/>
      <c r="R60" s="54"/>
      <c r="S60" s="54"/>
    </row>
    <row r="61" spans="1:23" ht="21.75" customHeight="1">
      <c r="C61" s="25"/>
      <c r="D61" s="85" t="s">
        <v>128</v>
      </c>
      <c r="E61" s="62">
        <v>154043917.94999999</v>
      </c>
      <c r="F61" s="62">
        <v>140893849.22999999</v>
      </c>
      <c r="G61" s="62">
        <v>148624107.5</v>
      </c>
      <c r="H61" s="62">
        <v>68115892.030000001</v>
      </c>
      <c r="I61" s="62">
        <v>70689877.209999993</v>
      </c>
      <c r="J61" s="62">
        <v>70757123</v>
      </c>
      <c r="K61" s="62">
        <v>69393520.280000001</v>
      </c>
      <c r="L61" s="62">
        <v>66429641.590000004</v>
      </c>
      <c r="M61" s="62">
        <v>63833486.350000001</v>
      </c>
      <c r="N61" s="62">
        <v>68021434.040000007</v>
      </c>
      <c r="O61" s="62">
        <v>74703158.079999998</v>
      </c>
      <c r="P61" s="62"/>
      <c r="Q61" s="101">
        <f>SUM(E61:P61)</f>
        <v>995506007.25999999</v>
      </c>
      <c r="R61" s="102"/>
      <c r="S61" s="102"/>
    </row>
    <row r="62" spans="1:23" ht="42.75" customHeight="1">
      <c r="C62" s="25"/>
      <c r="D62" s="85"/>
      <c r="E62" s="103"/>
      <c r="F62" s="103"/>
      <c r="G62" s="48"/>
      <c r="H62" s="104" t="s">
        <v>129</v>
      </c>
      <c r="I62" s="105" t="s">
        <v>130</v>
      </c>
      <c r="J62" s="106" t="s">
        <v>131</v>
      </c>
      <c r="K62" s="106" t="s">
        <v>132</v>
      </c>
      <c r="L62" s="103" t="s">
        <v>133</v>
      </c>
      <c r="M62" s="103" t="s">
        <v>134</v>
      </c>
      <c r="N62" s="42"/>
      <c r="O62" s="48"/>
      <c r="P62" s="42"/>
      <c r="Q62" s="42"/>
      <c r="R62" s="42"/>
      <c r="S62" s="42"/>
    </row>
    <row r="63" spans="1:23">
      <c r="B63" s="25" t="s">
        <v>149</v>
      </c>
      <c r="C63" s="28">
        <f>+C55</f>
        <v>13673247</v>
      </c>
      <c r="E63" s="54" t="e">
        <f>+#REF!</f>
        <v>#REF!</v>
      </c>
      <c r="F63" s="48"/>
      <c r="G63" s="48"/>
      <c r="H63" s="54" t="s">
        <v>135</v>
      </c>
      <c r="I63" s="48" t="s">
        <v>136</v>
      </c>
      <c r="J63" s="48" t="s">
        <v>137</v>
      </c>
      <c r="K63" s="107" t="s">
        <v>138</v>
      </c>
      <c r="L63" s="107" t="s">
        <v>139</v>
      </c>
      <c r="M63" s="108"/>
      <c r="N63" s="42"/>
      <c r="O63" s="48"/>
      <c r="Q63" s="48"/>
      <c r="R63" s="48"/>
      <c r="S63" s="48"/>
    </row>
    <row r="64" spans="1:23">
      <c r="B64" t="s">
        <v>206</v>
      </c>
      <c r="C64" s="28">
        <v>2036635</v>
      </c>
      <c r="D64" s="109"/>
      <c r="E64" s="54" t="e">
        <f>+#REF!</f>
        <v>#REF!</v>
      </c>
      <c r="F64" s="103"/>
      <c r="G64" s="53"/>
      <c r="H64" s="103"/>
      <c r="I64" s="54"/>
      <c r="J64" s="42"/>
      <c r="K64" s="48"/>
      <c r="L64" s="42"/>
      <c r="M64" s="54"/>
      <c r="N64" s="42"/>
      <c r="O64" s="48"/>
      <c r="P64" s="42"/>
      <c r="Q64" s="108"/>
      <c r="R64" s="103"/>
      <c r="S64" s="103"/>
    </row>
    <row r="65" spans="2:19">
      <c r="B65" t="s">
        <v>207</v>
      </c>
      <c r="C65" s="28" t="e">
        <f>+#REF!</f>
        <v>#REF!</v>
      </c>
      <c r="D65" s="109"/>
      <c r="E65" s="54" t="e">
        <f>+#REF!</f>
        <v>#REF!</v>
      </c>
      <c r="F65" s="103"/>
      <c r="G65" s="53"/>
      <c r="H65" s="103"/>
      <c r="I65" s="54"/>
      <c r="J65" s="42"/>
      <c r="K65" s="48"/>
      <c r="L65" s="42"/>
      <c r="M65" s="54"/>
      <c r="N65" s="42"/>
      <c r="O65" s="48"/>
      <c r="P65" s="42"/>
      <c r="Q65" s="108"/>
      <c r="R65" s="103"/>
      <c r="S65" s="103"/>
    </row>
    <row r="66" spans="2:19">
      <c r="C66" s="253" t="e">
        <f>SUM(C63:C65)</f>
        <v>#REF!</v>
      </c>
      <c r="D66" s="254"/>
      <c r="E66" s="258" t="e">
        <f>SUM(E63:E65)</f>
        <v>#REF!</v>
      </c>
      <c r="F66" s="42"/>
      <c r="G66" s="48"/>
      <c r="H66" s="48"/>
      <c r="I66" s="42"/>
      <c r="J66" s="108"/>
      <c r="K66" s="48"/>
      <c r="L66" s="42"/>
      <c r="M66" s="42"/>
      <c r="N66" s="42"/>
      <c r="O66" s="42"/>
      <c r="P66" s="53"/>
      <c r="Q66" s="103"/>
      <c r="R66" s="42"/>
      <c r="S66" s="42"/>
    </row>
    <row r="67" spans="2:19">
      <c r="C67" s="27"/>
      <c r="D67" s="110"/>
      <c r="K67" s="48"/>
      <c r="L67" s="42"/>
      <c r="M67" s="42"/>
      <c r="N67" s="42"/>
      <c r="O67" s="42"/>
      <c r="P67" s="108"/>
      <c r="Q67" s="42"/>
      <c r="R67" s="42"/>
      <c r="S67" s="42"/>
    </row>
    <row r="68" spans="2:19">
      <c r="B68" t="s">
        <v>201</v>
      </c>
      <c r="C68" s="111">
        <f>+'[1]RELACION RACIONES COCIDAS'!$F$186</f>
        <v>3267717442.4000001</v>
      </c>
      <c r="D68" s="43"/>
      <c r="K68" s="48"/>
      <c r="L68" s="296" t="s">
        <v>208</v>
      </c>
      <c r="M68" s="296"/>
      <c r="N68" s="296"/>
      <c r="O68" s="42"/>
      <c r="P68" s="54"/>
      <c r="Q68" s="103"/>
      <c r="R68" s="42"/>
      <c r="S68" s="42"/>
    </row>
    <row r="69" spans="2:19" ht="15.75" thickBot="1">
      <c r="C69" s="27"/>
      <c r="D69" s="43"/>
      <c r="K69" s="42"/>
      <c r="L69" s="42"/>
      <c r="M69" s="42"/>
      <c r="N69" s="46"/>
      <c r="O69" s="42"/>
      <c r="P69" s="42"/>
      <c r="Q69" s="42"/>
      <c r="R69" s="42"/>
      <c r="S69" s="42"/>
    </row>
    <row r="70" spans="2:19">
      <c r="C70" s="27"/>
      <c r="D70" s="43"/>
      <c r="K70" s="42"/>
      <c r="L70" s="227"/>
      <c r="M70" s="228"/>
      <c r="N70" s="229"/>
      <c r="O70" s="42"/>
      <c r="P70" s="42"/>
      <c r="Q70" s="54"/>
      <c r="R70" s="42"/>
      <c r="S70" s="42"/>
    </row>
    <row r="71" spans="2:19">
      <c r="C71" s="28"/>
      <c r="K71" s="42"/>
      <c r="L71" s="230" t="s">
        <v>202</v>
      </c>
      <c r="M71" s="42"/>
      <c r="N71" s="28">
        <f>52973+1202673</f>
        <v>1255646</v>
      </c>
      <c r="O71" s="54"/>
      <c r="P71" s="53"/>
      <c r="Q71" s="103"/>
      <c r="R71" s="42"/>
      <c r="S71" s="42"/>
    </row>
    <row r="72" spans="2:19">
      <c r="B72" t="s">
        <v>158</v>
      </c>
      <c r="C72" s="40"/>
      <c r="L72" s="231" t="s">
        <v>187</v>
      </c>
      <c r="M72" s="53">
        <v>204843</v>
      </c>
      <c r="N72" s="232"/>
      <c r="O72" s="23"/>
      <c r="Q72" s="25"/>
    </row>
    <row r="73" spans="2:19">
      <c r="C73" s="27"/>
      <c r="L73" s="230" t="s">
        <v>188</v>
      </c>
      <c r="M73" s="103">
        <v>1050805</v>
      </c>
      <c r="N73" s="233"/>
      <c r="O73" s="68"/>
      <c r="P73" s="27"/>
      <c r="Q73" s="28"/>
    </row>
    <row r="74" spans="2:19">
      <c r="C74" s="27"/>
      <c r="L74" s="231" t="s">
        <v>189</v>
      </c>
      <c r="M74" s="234">
        <f>SUM(M72:M73)</f>
        <v>1255648</v>
      </c>
      <c r="N74" s="233"/>
      <c r="Q74" s="27"/>
    </row>
    <row r="75" spans="2:19" ht="15.75" thickBot="1">
      <c r="C75" s="27"/>
      <c r="L75" s="235"/>
      <c r="M75" s="236"/>
      <c r="N75" s="237" t="s">
        <v>190</v>
      </c>
      <c r="P75" s="27"/>
      <c r="Q75" s="25"/>
      <c r="R75" s="27"/>
    </row>
    <row r="76" spans="2:19">
      <c r="M76" s="27"/>
      <c r="N76" s="109"/>
      <c r="O76" s="23"/>
      <c r="R76" s="27"/>
    </row>
    <row r="77" spans="2:19">
      <c r="L77" t="s">
        <v>203</v>
      </c>
      <c r="M77" s="27"/>
      <c r="N77" s="27"/>
      <c r="O77" s="23"/>
    </row>
    <row r="78" spans="2:19" ht="15.75" thickBot="1">
      <c r="L78" t="s">
        <v>204</v>
      </c>
      <c r="M78" s="27"/>
      <c r="N78" s="27"/>
      <c r="O78" s="23"/>
    </row>
    <row r="79" spans="2:19">
      <c r="E79" s="25"/>
      <c r="F79" s="27"/>
      <c r="L79" s="227"/>
      <c r="M79" s="228"/>
      <c r="N79" s="228"/>
      <c r="O79" s="238"/>
      <c r="R79" s="243"/>
    </row>
    <row r="80" spans="2:19">
      <c r="B80" s="27"/>
      <c r="L80" s="231" t="s">
        <v>191</v>
      </c>
      <c r="M80" s="42"/>
      <c r="N80" s="103"/>
      <c r="O80" s="239"/>
      <c r="R80" s="25"/>
      <c r="S80" s="25"/>
    </row>
    <row r="81" spans="2:21">
      <c r="L81" s="231" t="s">
        <v>195</v>
      </c>
      <c r="M81" s="53">
        <v>1162930</v>
      </c>
      <c r="N81" s="42">
        <f>+M81*60.19</f>
        <v>69996756.700000003</v>
      </c>
      <c r="O81" s="240"/>
      <c r="R81" s="25"/>
      <c r="S81" s="25"/>
      <c r="T81" s="28"/>
    </row>
    <row r="82" spans="2:21">
      <c r="B82" s="27"/>
      <c r="L82" s="231" t="s">
        <v>192</v>
      </c>
      <c r="M82" s="103">
        <v>591722</v>
      </c>
      <c r="N82" s="54">
        <f>+M82*60.19</f>
        <v>35615747.18</v>
      </c>
      <c r="O82" s="239"/>
      <c r="P82" s="25"/>
      <c r="R82" s="25"/>
      <c r="S82" s="25"/>
      <c r="T82" s="28"/>
    </row>
    <row r="83" spans="2:21">
      <c r="L83" s="231" t="s">
        <v>189</v>
      </c>
      <c r="M83" s="234">
        <f>SUM(M81:M82)</f>
        <v>1754652</v>
      </c>
      <c r="N83" s="54">
        <f>SUM(N81:N82)</f>
        <v>105612503.88</v>
      </c>
      <c r="O83" s="239"/>
      <c r="T83" s="23"/>
      <c r="U83" s="25"/>
    </row>
    <row r="84" spans="2:21" ht="15.75" thickBot="1">
      <c r="L84" s="235"/>
      <c r="M84" s="241"/>
      <c r="N84" s="241"/>
      <c r="O84" s="242"/>
      <c r="T84" s="25"/>
    </row>
    <row r="86" spans="2:21" ht="15.75" thickBot="1"/>
    <row r="87" spans="2:21">
      <c r="L87" s="227"/>
      <c r="M87" s="228" t="s">
        <v>196</v>
      </c>
      <c r="N87" s="228"/>
      <c r="O87" s="244">
        <v>5702671</v>
      </c>
    </row>
    <row r="88" spans="2:21" ht="8.25" customHeight="1">
      <c r="L88" s="231"/>
      <c r="M88" s="53"/>
      <c r="N88" s="42"/>
      <c r="O88" s="239"/>
      <c r="T88" s="42"/>
    </row>
    <row r="89" spans="2:21">
      <c r="L89" s="230" t="s">
        <v>188</v>
      </c>
      <c r="M89" s="103">
        <f>+M73</f>
        <v>1050805</v>
      </c>
      <c r="N89" s="53">
        <v>2152339</v>
      </c>
      <c r="O89" s="239"/>
    </row>
    <row r="90" spans="2:21">
      <c r="L90" s="231" t="s">
        <v>192</v>
      </c>
      <c r="M90" s="103">
        <f>+M82</f>
        <v>591722</v>
      </c>
      <c r="N90" s="53">
        <f>+M90*6</f>
        <v>3550332</v>
      </c>
      <c r="O90" s="245"/>
      <c r="R90" s="27"/>
      <c r="S90" s="27"/>
      <c r="T90" s="103"/>
    </row>
    <row r="91" spans="2:21">
      <c r="L91" s="231"/>
      <c r="M91" s="103">
        <f>SUM(M89:M90)</f>
        <v>1642527</v>
      </c>
      <c r="N91" s="103">
        <f>SUM(N89:N90)</f>
        <v>5702671</v>
      </c>
      <c r="O91" s="240"/>
      <c r="R91" s="28"/>
      <c r="S91" s="28"/>
    </row>
    <row r="92" spans="2:21">
      <c r="L92" s="231" t="s">
        <v>197</v>
      </c>
      <c r="M92" s="42"/>
      <c r="N92" s="42"/>
      <c r="O92" s="240"/>
      <c r="R92" s="28"/>
      <c r="S92" s="28"/>
    </row>
    <row r="93" spans="2:21" ht="15.75" thickBot="1">
      <c r="L93" s="235" t="s">
        <v>198</v>
      </c>
      <c r="M93" s="241"/>
      <c r="N93" s="241"/>
      <c r="O93" s="246"/>
      <c r="U93" s="25">
        <f>+O87-R90</f>
        <v>5702671</v>
      </c>
    </row>
    <row r="94" spans="2:21">
      <c r="O94" s="23"/>
      <c r="Q94" s="25"/>
    </row>
  </sheetData>
  <mergeCells count="8">
    <mergeCell ref="L68:N68"/>
    <mergeCell ref="C57:C58"/>
    <mergeCell ref="B2:C2"/>
    <mergeCell ref="B3:C3"/>
    <mergeCell ref="C4:C5"/>
    <mergeCell ref="C6:C7"/>
    <mergeCell ref="B8:C8"/>
    <mergeCell ref="C55:C5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4"/>
  <sheetViews>
    <sheetView topLeftCell="B19" workbookViewId="0">
      <selection activeCell="C59" sqref="C59"/>
    </sheetView>
  </sheetViews>
  <sheetFormatPr baseColWidth="10" defaultRowHeight="15"/>
  <cols>
    <col min="1" max="1" width="0" hidden="1" customWidth="1"/>
    <col min="2" max="2" width="4.7109375" customWidth="1"/>
    <col min="3" max="3" width="33.5703125" style="115" customWidth="1"/>
    <col min="4" max="4" width="15.140625" style="115" customWidth="1"/>
    <col min="5" max="5" width="16.42578125" customWidth="1"/>
    <col min="6" max="6" width="23.28515625" customWidth="1"/>
    <col min="7" max="7" width="16.85546875" customWidth="1"/>
    <col min="8" max="8" width="18.42578125" customWidth="1"/>
    <col min="9" max="9" width="15.42578125" customWidth="1"/>
    <col min="10" max="10" width="17" customWidth="1"/>
    <col min="11" max="11" width="17.140625" customWidth="1"/>
    <col min="12" max="12" width="16.140625" customWidth="1"/>
    <col min="13" max="13" width="17.7109375" customWidth="1"/>
    <col min="14" max="14" width="16.85546875" customWidth="1"/>
    <col min="15" max="15" width="17.42578125" customWidth="1"/>
    <col min="16" max="16" width="16.42578125" customWidth="1"/>
    <col min="17" max="17" width="18.7109375" customWidth="1"/>
    <col min="18" max="18" width="15.5703125" customWidth="1"/>
    <col min="19" max="19" width="6.28515625" customWidth="1"/>
    <col min="20" max="20" width="21.85546875" customWidth="1"/>
    <col min="21" max="21" width="19" customWidth="1"/>
    <col min="22" max="22" width="18" customWidth="1"/>
    <col min="23" max="23" width="16.85546875" bestFit="1" customWidth="1"/>
    <col min="24" max="24" width="17.28515625" bestFit="1" customWidth="1"/>
  </cols>
  <sheetData>
    <row r="1" spans="3:22">
      <c r="F1" s="24"/>
    </row>
    <row r="2" spans="3:22" ht="15.75" thickBot="1">
      <c r="L2" s="27"/>
      <c r="M2" s="16"/>
      <c r="N2" s="27"/>
      <c r="O2" s="27"/>
      <c r="P2" s="27"/>
      <c r="Q2" s="27"/>
      <c r="R2" s="27"/>
      <c r="T2" s="27"/>
      <c r="U2" s="27"/>
    </row>
    <row r="3" spans="3:22" ht="15.75" thickBot="1">
      <c r="C3" s="310" t="s">
        <v>71</v>
      </c>
      <c r="D3" s="311"/>
    </row>
    <row r="4" spans="3:22" ht="36" customHeight="1" thickBot="1">
      <c r="C4" s="312" t="s">
        <v>1</v>
      </c>
      <c r="D4" s="313"/>
      <c r="F4" s="116" t="s">
        <v>48</v>
      </c>
      <c r="G4" s="116" t="s">
        <v>49</v>
      </c>
      <c r="H4" s="116" t="s">
        <v>50</v>
      </c>
      <c r="I4" s="116" t="s">
        <v>51</v>
      </c>
      <c r="J4" s="116" t="s">
        <v>52</v>
      </c>
      <c r="K4" s="116" t="s">
        <v>53</v>
      </c>
      <c r="L4" s="116" t="s">
        <v>54</v>
      </c>
      <c r="M4" s="117" t="s">
        <v>55</v>
      </c>
      <c r="N4" s="118" t="s">
        <v>140</v>
      </c>
      <c r="O4" s="118" t="s">
        <v>57</v>
      </c>
      <c r="P4" s="259" t="s">
        <v>147</v>
      </c>
      <c r="Q4" s="260" t="s">
        <v>67</v>
      </c>
      <c r="R4" s="116" t="s">
        <v>58</v>
      </c>
      <c r="T4" s="261" t="s">
        <v>215</v>
      </c>
      <c r="U4" s="267" t="s">
        <v>67</v>
      </c>
    </row>
    <row r="5" spans="3:22" ht="15.75" thickBot="1">
      <c r="C5" s="119" t="s">
        <v>2</v>
      </c>
      <c r="D5" s="120">
        <f>+R5</f>
        <v>3168732</v>
      </c>
      <c r="F5" s="121">
        <v>167611</v>
      </c>
      <c r="G5" s="121">
        <v>204847</v>
      </c>
      <c r="H5" s="121">
        <v>242819</v>
      </c>
      <c r="I5" s="121">
        <f>242483+41685</f>
        <v>284168</v>
      </c>
      <c r="J5" s="121">
        <f>184067+49875</f>
        <v>233942</v>
      </c>
      <c r="K5" s="121">
        <f>188886+48164</f>
        <v>237050</v>
      </c>
      <c r="L5" s="121">
        <f>202421+49838</f>
        <v>252259</v>
      </c>
      <c r="M5" s="121">
        <f>208514+50141</f>
        <v>258655</v>
      </c>
      <c r="N5" s="122">
        <f>58965+303743</f>
        <v>362708</v>
      </c>
      <c r="O5" s="122">
        <v>300821</v>
      </c>
      <c r="P5" s="122">
        <f>74896+196344</f>
        <v>271240</v>
      </c>
      <c r="Q5" s="122">
        <v>352612</v>
      </c>
      <c r="R5" s="13">
        <f>+F5+G5+H5+I5+J5+K5+L5+M5+N5+O5+P5+Q5</f>
        <v>3168732</v>
      </c>
      <c r="T5" s="122" t="e">
        <f>+#REF!</f>
        <v>#REF!</v>
      </c>
      <c r="U5" s="121" t="e">
        <f>+Q5+T5</f>
        <v>#REF!</v>
      </c>
    </row>
    <row r="6" spans="3:22" ht="15.75" thickBot="1">
      <c r="C6" s="123" t="s">
        <v>3</v>
      </c>
      <c r="D6" s="124"/>
      <c r="F6" s="112">
        <f t="shared" ref="F6:L6" si="0">+F5</f>
        <v>167611</v>
      </c>
      <c r="G6" s="125">
        <f t="shared" si="0"/>
        <v>204847</v>
      </c>
      <c r="H6" s="125">
        <f t="shared" si="0"/>
        <v>242819</v>
      </c>
      <c r="I6" s="125">
        <f t="shared" si="0"/>
        <v>284168</v>
      </c>
      <c r="J6" s="125">
        <f t="shared" si="0"/>
        <v>233942</v>
      </c>
      <c r="K6" s="125">
        <f t="shared" si="0"/>
        <v>237050</v>
      </c>
      <c r="L6" s="125">
        <f t="shared" si="0"/>
        <v>252259</v>
      </c>
      <c r="M6" s="125">
        <v>258655</v>
      </c>
      <c r="N6" s="125">
        <f>+N5</f>
        <v>362708</v>
      </c>
      <c r="O6" s="126">
        <f>+O5</f>
        <v>300821</v>
      </c>
      <c r="P6" s="126">
        <f>+P5</f>
        <v>271240</v>
      </c>
      <c r="Q6" s="125">
        <f t="shared" ref="Q6" si="1">+Q5</f>
        <v>352612</v>
      </c>
      <c r="R6" s="45">
        <f>+R5</f>
        <v>3168732</v>
      </c>
      <c r="S6" s="47"/>
      <c r="T6" s="126"/>
      <c r="U6" s="125" t="e">
        <f t="shared" ref="U6" si="2">+U5</f>
        <v>#REF!</v>
      </c>
    </row>
    <row r="7" spans="3:22">
      <c r="C7" s="127" t="s">
        <v>4</v>
      </c>
      <c r="D7" s="128">
        <f>+R7</f>
        <v>4607507</v>
      </c>
      <c r="E7" s="27">
        <f>+D7*62.0535</f>
        <v>285911935.62449998</v>
      </c>
      <c r="F7" s="13">
        <v>97194</v>
      </c>
      <c r="G7" s="13">
        <v>248639</v>
      </c>
      <c r="H7" s="13">
        <v>318079</v>
      </c>
      <c r="I7" s="13">
        <f>86892+158980</f>
        <v>245872</v>
      </c>
      <c r="J7" s="13">
        <f>196940+1780+122917</f>
        <v>321637</v>
      </c>
      <c r="K7" s="13">
        <f>177240+1740+108743</f>
        <v>287723</v>
      </c>
      <c r="L7" s="13">
        <f>184240+1720+118769</f>
        <v>304729</v>
      </c>
      <c r="M7" s="13">
        <v>344744</v>
      </c>
      <c r="N7" s="44">
        <v>393439</v>
      </c>
      <c r="O7" s="13">
        <v>418582</v>
      </c>
      <c r="P7" s="13">
        <v>415643</v>
      </c>
      <c r="Q7" s="13">
        <f>1211226</f>
        <v>1211226</v>
      </c>
      <c r="R7" s="13">
        <f t="shared" ref="R7:R38" si="3">SUM(F7:Q7)</f>
        <v>4607507</v>
      </c>
      <c r="T7" s="262"/>
      <c r="U7" s="13">
        <f>255470+1980+202588+1151188</f>
        <v>1611226</v>
      </c>
    </row>
    <row r="8" spans="3:22">
      <c r="C8" s="129" t="s">
        <v>5</v>
      </c>
      <c r="D8" s="128">
        <f t="shared" ref="D8:D65" si="4">+R8</f>
        <v>802011</v>
      </c>
      <c r="E8" s="27">
        <f t="shared" ref="E8:E44" si="5">+D8*62.0535</f>
        <v>49767589.588500001</v>
      </c>
      <c r="F8" s="13">
        <v>38209</v>
      </c>
      <c r="G8" s="13">
        <v>57597</v>
      </c>
      <c r="H8" s="13">
        <v>60822</v>
      </c>
      <c r="I8" s="13">
        <f>33728+52497</f>
        <v>86225</v>
      </c>
      <c r="J8" s="13">
        <f>25765+30851+2675</f>
        <v>59291</v>
      </c>
      <c r="K8" s="13">
        <f>43172+2675+28328+60</f>
        <v>74235</v>
      </c>
      <c r="L8" s="13">
        <f>440+28970+2706+30985</f>
        <v>63101</v>
      </c>
      <c r="M8" s="13">
        <v>73632</v>
      </c>
      <c r="N8" s="44">
        <v>56652</v>
      </c>
      <c r="O8" s="13">
        <v>57898</v>
      </c>
      <c r="P8" s="44">
        <v>61197</v>
      </c>
      <c r="Q8" s="44">
        <f>113152</f>
        <v>113152</v>
      </c>
      <c r="R8" s="13">
        <f t="shared" si="3"/>
        <v>802011</v>
      </c>
      <c r="T8" s="262"/>
      <c r="U8" s="44">
        <f>7550+3210+23842+1596919</f>
        <v>1631521</v>
      </c>
    </row>
    <row r="9" spans="3:22">
      <c r="C9" s="127" t="s">
        <v>6</v>
      </c>
      <c r="D9" s="128">
        <f t="shared" si="4"/>
        <v>1039792</v>
      </c>
      <c r="E9" s="27">
        <f t="shared" si="5"/>
        <v>64522732.872000001</v>
      </c>
      <c r="F9" s="13">
        <v>39207</v>
      </c>
      <c r="G9" s="13">
        <v>92854</v>
      </c>
      <c r="H9" s="13">
        <v>84579</v>
      </c>
      <c r="I9" s="13">
        <f>60492+28300</f>
        <v>88792</v>
      </c>
      <c r="J9" s="13">
        <f>73474+21825+9540</f>
        <v>104839</v>
      </c>
      <c r="K9" s="13">
        <f>450+14000+9480+60784</f>
        <v>84714</v>
      </c>
      <c r="L9" s="13">
        <f>31060+9510+73775</f>
        <v>114345</v>
      </c>
      <c r="M9" s="13">
        <v>85601</v>
      </c>
      <c r="N9" s="44">
        <v>90881</v>
      </c>
      <c r="O9" s="13">
        <v>84414</v>
      </c>
      <c r="P9" s="44">
        <f>117159-50000</f>
        <v>67159</v>
      </c>
      <c r="Q9" s="44">
        <f>102407</f>
        <v>102407</v>
      </c>
      <c r="R9" s="13">
        <f t="shared" si="3"/>
        <v>1039792</v>
      </c>
      <c r="S9" s="27"/>
      <c r="T9" s="262"/>
      <c r="U9" s="44">
        <f>11085+55560+1527427</f>
        <v>1594072</v>
      </c>
      <c r="V9" s="16"/>
    </row>
    <row r="10" spans="3:22">
      <c r="C10" s="129" t="s">
        <v>7</v>
      </c>
      <c r="D10" s="128">
        <f t="shared" si="4"/>
        <v>792627</v>
      </c>
      <c r="E10" s="27">
        <f t="shared" si="5"/>
        <v>49185279.544500001</v>
      </c>
      <c r="F10" s="13">
        <v>25066</v>
      </c>
      <c r="G10" s="13">
        <v>53030</v>
      </c>
      <c r="H10" s="13">
        <v>62757</v>
      </c>
      <c r="I10" s="13">
        <f>59047+2850</f>
        <v>61897</v>
      </c>
      <c r="J10" s="13">
        <v>77159</v>
      </c>
      <c r="K10" s="13">
        <f>4470+4132+70899</f>
        <v>79501</v>
      </c>
      <c r="L10" s="13">
        <f>7660+4425+72810</f>
        <v>84895</v>
      </c>
      <c r="M10" s="13">
        <v>78750</v>
      </c>
      <c r="N10" s="44">
        <v>69687</v>
      </c>
      <c r="O10" s="13">
        <v>60371</v>
      </c>
      <c r="P10" s="44">
        <v>77898</v>
      </c>
      <c r="Q10" s="44">
        <f>5625+55991</f>
        <v>61616</v>
      </c>
      <c r="R10" s="13">
        <f t="shared" si="3"/>
        <v>792627</v>
      </c>
      <c r="T10" s="262"/>
      <c r="U10" s="44">
        <f>5625+35991+388104</f>
        <v>429720</v>
      </c>
    </row>
    <row r="11" spans="3:22">
      <c r="C11" s="127" t="s">
        <v>8</v>
      </c>
      <c r="D11" s="128">
        <f t="shared" si="4"/>
        <v>774502</v>
      </c>
      <c r="E11" s="27">
        <f t="shared" si="5"/>
        <v>48060559.857000001</v>
      </c>
      <c r="F11" s="13">
        <v>15865</v>
      </c>
      <c r="G11" s="13">
        <v>27467</v>
      </c>
      <c r="H11" s="13">
        <v>45072</v>
      </c>
      <c r="I11" s="13">
        <v>46043</v>
      </c>
      <c r="J11" s="13">
        <f>56179+652+600</f>
        <v>57431</v>
      </c>
      <c r="K11" s="13">
        <f>1200+674+75040</f>
        <v>76914</v>
      </c>
      <c r="L11" s="13">
        <f>692+83252</f>
        <v>83944</v>
      </c>
      <c r="M11" s="13">
        <v>81520</v>
      </c>
      <c r="N11" s="44">
        <v>80310</v>
      </c>
      <c r="O11" s="13">
        <v>85146</v>
      </c>
      <c r="P11" s="44">
        <v>94585</v>
      </c>
      <c r="Q11" s="44">
        <f>644+79561</f>
        <v>80205</v>
      </c>
      <c r="R11" s="13">
        <f t="shared" si="3"/>
        <v>774502</v>
      </c>
      <c r="T11" s="262"/>
      <c r="U11" s="44">
        <f>644+39561+350656</f>
        <v>390861</v>
      </c>
    </row>
    <row r="12" spans="3:22">
      <c r="C12" s="129" t="s">
        <v>9</v>
      </c>
      <c r="D12" s="128">
        <f t="shared" si="4"/>
        <v>974275</v>
      </c>
      <c r="E12" s="27">
        <f t="shared" si="5"/>
        <v>60457173.712499999</v>
      </c>
      <c r="F12" s="13">
        <v>28739</v>
      </c>
      <c r="G12" s="13">
        <v>54544</v>
      </c>
      <c r="H12" s="13">
        <v>80175</v>
      </c>
      <c r="I12" s="13">
        <f>70988+9115</f>
        <v>80103</v>
      </c>
      <c r="J12" s="13">
        <f>6775+814+68389</f>
        <v>75978</v>
      </c>
      <c r="K12" s="13">
        <f>8415+813+76815</f>
        <v>86043</v>
      </c>
      <c r="L12" s="13">
        <f>8805+857+78832</f>
        <v>88494</v>
      </c>
      <c r="M12" s="13">
        <v>93778</v>
      </c>
      <c r="N12" s="44">
        <v>100407</v>
      </c>
      <c r="O12" s="13">
        <v>96389</v>
      </c>
      <c r="P12" s="44">
        <v>126653</v>
      </c>
      <c r="Q12" s="44">
        <f>1230+1016+81725+79001-100000</f>
        <v>62972</v>
      </c>
      <c r="R12" s="13">
        <f t="shared" si="3"/>
        <v>974275</v>
      </c>
      <c r="T12" s="262"/>
      <c r="U12" s="44">
        <f>1230+1016+81725+479001</f>
        <v>562972</v>
      </c>
    </row>
    <row r="13" spans="3:22">
      <c r="C13" s="127" t="s">
        <v>10</v>
      </c>
      <c r="D13" s="128">
        <f t="shared" si="4"/>
        <v>630594</v>
      </c>
      <c r="E13" s="27">
        <f t="shared" si="5"/>
        <v>39130564.778999999</v>
      </c>
      <c r="F13" s="13">
        <v>16021</v>
      </c>
      <c r="G13" s="13">
        <v>32893</v>
      </c>
      <c r="H13" s="13">
        <v>48662</v>
      </c>
      <c r="I13" s="13">
        <v>49025</v>
      </c>
      <c r="J13" s="13">
        <f>1086+52513+200</f>
        <v>53799</v>
      </c>
      <c r="K13" s="13">
        <f>1126+57756</f>
        <v>58882</v>
      </c>
      <c r="L13" s="13">
        <f>1174+59190</f>
        <v>60364</v>
      </c>
      <c r="M13" s="13">
        <v>59600</v>
      </c>
      <c r="N13" s="44">
        <v>57561</v>
      </c>
      <c r="O13" s="13">
        <v>71757</v>
      </c>
      <c r="P13" s="44">
        <v>82650</v>
      </c>
      <c r="Q13" s="44">
        <f>1102+37208+1070</f>
        <v>39380</v>
      </c>
      <c r="R13" s="13">
        <f t="shared" si="3"/>
        <v>630594</v>
      </c>
      <c r="T13" s="262"/>
      <c r="U13" s="44">
        <f>1102+37208+491070</f>
        <v>529380</v>
      </c>
    </row>
    <row r="14" spans="3:22">
      <c r="C14" s="129" t="s">
        <v>11</v>
      </c>
      <c r="D14" s="128">
        <f t="shared" si="4"/>
        <v>624990</v>
      </c>
      <c r="E14" s="27">
        <f t="shared" si="5"/>
        <v>38782816.964999996</v>
      </c>
      <c r="F14" s="13">
        <v>17931</v>
      </c>
      <c r="G14" s="13">
        <v>32021</v>
      </c>
      <c r="H14" s="13">
        <v>46096</v>
      </c>
      <c r="I14" s="13">
        <f>39880+3876</f>
        <v>43756</v>
      </c>
      <c r="J14" s="13">
        <v>50997</v>
      </c>
      <c r="K14" s="13">
        <f>4421+947+43263</f>
        <v>48631</v>
      </c>
      <c r="L14" s="13">
        <f>4054+1029+56817</f>
        <v>61900</v>
      </c>
      <c r="M14" s="13">
        <v>53469</v>
      </c>
      <c r="N14" s="44">
        <v>54510</v>
      </c>
      <c r="O14" s="13">
        <v>58798</v>
      </c>
      <c r="P14" s="44">
        <v>91350</v>
      </c>
      <c r="Q14" s="44">
        <f>4437+1020+43850+326224-310000</f>
        <v>65531</v>
      </c>
      <c r="R14" s="13">
        <f t="shared" si="3"/>
        <v>624990</v>
      </c>
      <c r="T14" s="262"/>
      <c r="U14" s="44">
        <f>4437+1020+43850+326224</f>
        <v>375531</v>
      </c>
    </row>
    <row r="15" spans="3:22">
      <c r="C15" s="132" t="s">
        <v>75</v>
      </c>
      <c r="D15" s="128">
        <f t="shared" si="4"/>
        <v>79480</v>
      </c>
      <c r="E15" s="27">
        <f t="shared" si="5"/>
        <v>4932012.18</v>
      </c>
      <c r="F15" s="13"/>
      <c r="G15" s="13"/>
      <c r="H15" s="13"/>
      <c r="I15" s="13"/>
      <c r="J15" s="13"/>
      <c r="K15" s="13"/>
      <c r="L15" s="13">
        <f>536+4064+261+891</f>
        <v>5752</v>
      </c>
      <c r="M15" s="13">
        <v>8792</v>
      </c>
      <c r="N15" s="44">
        <v>8882</v>
      </c>
      <c r="O15" s="13">
        <v>16516</v>
      </c>
      <c r="P15" s="44">
        <v>19232</v>
      </c>
      <c r="Q15" s="44">
        <f>517+15641+529+3619</f>
        <v>20306</v>
      </c>
      <c r="R15" s="13">
        <f t="shared" si="3"/>
        <v>79480</v>
      </c>
      <c r="T15" s="262"/>
      <c r="U15" s="44">
        <f>517+15641+529+3619</f>
        <v>20306</v>
      </c>
    </row>
    <row r="16" spans="3:22">
      <c r="C16" s="129" t="s">
        <v>216</v>
      </c>
      <c r="D16" s="128">
        <f t="shared" si="4"/>
        <v>694056</v>
      </c>
      <c r="E16" s="27">
        <f t="shared" si="5"/>
        <v>43068603.995999999</v>
      </c>
      <c r="F16" s="13"/>
      <c r="G16" s="13"/>
      <c r="H16" s="13"/>
      <c r="I16" s="13"/>
      <c r="J16" s="13"/>
      <c r="K16" s="13"/>
      <c r="L16" s="13"/>
      <c r="M16" s="13">
        <v>12393</v>
      </c>
      <c r="N16" s="44">
        <v>223152</v>
      </c>
      <c r="O16" s="13">
        <v>220424</v>
      </c>
      <c r="P16" s="44">
        <v>226877</v>
      </c>
      <c r="Q16" s="44">
        <f>287+10923</f>
        <v>11210</v>
      </c>
      <c r="R16" s="13">
        <f t="shared" si="3"/>
        <v>694056</v>
      </c>
      <c r="T16" s="262"/>
      <c r="U16" s="44">
        <f>287+10923</f>
        <v>11210</v>
      </c>
    </row>
    <row r="17" spans="3:21">
      <c r="C17" s="127" t="s">
        <v>14</v>
      </c>
      <c r="D17" s="128">
        <f t="shared" si="4"/>
        <v>194359</v>
      </c>
      <c r="E17" s="27">
        <f t="shared" si="5"/>
        <v>12060656.206499999</v>
      </c>
      <c r="F17" s="13">
        <v>8907</v>
      </c>
      <c r="G17" s="13">
        <v>11775</v>
      </c>
      <c r="H17" s="13">
        <v>14914</v>
      </c>
      <c r="I17" s="13">
        <v>12160</v>
      </c>
      <c r="J17" s="13">
        <v>16334</v>
      </c>
      <c r="K17" s="13">
        <f>410+14525</f>
        <v>14935</v>
      </c>
      <c r="L17" s="13">
        <f>548+15320</f>
        <v>15868</v>
      </c>
      <c r="M17" s="13">
        <v>18136</v>
      </c>
      <c r="N17" s="44">
        <v>15973</v>
      </c>
      <c r="O17" s="13">
        <v>15589</v>
      </c>
      <c r="P17" s="44">
        <v>14475</v>
      </c>
      <c r="Q17" s="44">
        <f>728+14845+69720-50000</f>
        <v>35293</v>
      </c>
      <c r="R17" s="13">
        <f t="shared" si="3"/>
        <v>194359</v>
      </c>
      <c r="T17" s="262"/>
      <c r="U17" s="44">
        <f>728+14845+69720</f>
        <v>85293</v>
      </c>
    </row>
    <row r="18" spans="3:21">
      <c r="C18" s="129" t="s">
        <v>12</v>
      </c>
      <c r="D18" s="128">
        <f t="shared" si="4"/>
        <v>249315</v>
      </c>
      <c r="E18" s="27">
        <f t="shared" si="5"/>
        <v>15470868.352499999</v>
      </c>
      <c r="F18" s="13">
        <v>7042</v>
      </c>
      <c r="G18" s="13">
        <v>14543</v>
      </c>
      <c r="H18" s="13">
        <v>21933</v>
      </c>
      <c r="I18" s="13">
        <v>18534</v>
      </c>
      <c r="J18" s="13">
        <v>20859</v>
      </c>
      <c r="K18" s="13">
        <f>900+462+20084</f>
        <v>21446</v>
      </c>
      <c r="L18" s="13">
        <f>462+19646</f>
        <v>20108</v>
      </c>
      <c r="M18" s="13">
        <v>22511</v>
      </c>
      <c r="N18" s="44">
        <v>25660</v>
      </c>
      <c r="O18" s="13">
        <v>23144</v>
      </c>
      <c r="P18" s="44">
        <v>23514</v>
      </c>
      <c r="Q18" s="44">
        <f>1250+462+16559+21750-10000</f>
        <v>30021</v>
      </c>
      <c r="R18" s="13">
        <f t="shared" si="3"/>
        <v>249315</v>
      </c>
      <c r="T18" s="262"/>
      <c r="U18" s="44">
        <f>1250+462+16559+21750</f>
        <v>40021</v>
      </c>
    </row>
    <row r="19" spans="3:21">
      <c r="C19" s="127" t="s">
        <v>13</v>
      </c>
      <c r="D19" s="128">
        <f t="shared" si="4"/>
        <v>224146</v>
      </c>
      <c r="E19" s="27">
        <f t="shared" si="5"/>
        <v>13909043.811000001</v>
      </c>
      <c r="F19" s="13">
        <v>9637</v>
      </c>
      <c r="G19" s="13">
        <v>14674</v>
      </c>
      <c r="H19" s="13">
        <v>18989</v>
      </c>
      <c r="I19" s="13">
        <v>15157</v>
      </c>
      <c r="J19" s="13">
        <v>16817</v>
      </c>
      <c r="K19" s="13">
        <f>354+16290</f>
        <v>16644</v>
      </c>
      <c r="L19" s="13">
        <f>379+17642</f>
        <v>18021</v>
      </c>
      <c r="M19" s="13">
        <v>21781</v>
      </c>
      <c r="N19" s="44">
        <v>20330</v>
      </c>
      <c r="O19" s="13">
        <v>18945</v>
      </c>
      <c r="P19" s="44">
        <v>19994</v>
      </c>
      <c r="Q19" s="44">
        <f>341+32816</f>
        <v>33157</v>
      </c>
      <c r="R19" s="13">
        <f t="shared" si="3"/>
        <v>224146</v>
      </c>
      <c r="T19" s="262"/>
      <c r="U19" s="44">
        <f>341+32816</f>
        <v>33157</v>
      </c>
    </row>
    <row r="20" spans="3:21">
      <c r="C20" s="129" t="s">
        <v>15</v>
      </c>
      <c r="D20" s="128">
        <f t="shared" si="4"/>
        <v>215879</v>
      </c>
      <c r="E20" s="27">
        <f t="shared" si="5"/>
        <v>13396047.5265</v>
      </c>
      <c r="F20" s="13">
        <v>14683</v>
      </c>
      <c r="G20" s="13">
        <v>23350</v>
      </c>
      <c r="H20" s="13">
        <v>27586</v>
      </c>
      <c r="I20" s="13">
        <v>16677</v>
      </c>
      <c r="J20" s="13">
        <v>27748</v>
      </c>
      <c r="K20" s="13">
        <f>234+13467</f>
        <v>13701</v>
      </c>
      <c r="L20" s="13">
        <f>226+11815</f>
        <v>12041</v>
      </c>
      <c r="M20" s="13">
        <v>11082</v>
      </c>
      <c r="N20" s="44">
        <v>21413</v>
      </c>
      <c r="O20" s="13">
        <v>19342</v>
      </c>
      <c r="P20" s="44">
        <v>16167</v>
      </c>
      <c r="Q20" s="44">
        <f>333+10486+101270-100000</f>
        <v>12089</v>
      </c>
      <c r="R20" s="13">
        <f t="shared" si="3"/>
        <v>215879</v>
      </c>
      <c r="T20" s="262"/>
      <c r="U20" s="44">
        <f>333+10486+101270</f>
        <v>112089</v>
      </c>
    </row>
    <row r="21" spans="3:21">
      <c r="C21" s="127" t="s">
        <v>18</v>
      </c>
      <c r="D21" s="128">
        <f t="shared" si="4"/>
        <v>260222</v>
      </c>
      <c r="E21" s="27">
        <f t="shared" si="5"/>
        <v>16147685.877</v>
      </c>
      <c r="F21" s="13">
        <v>7993</v>
      </c>
      <c r="G21" s="13">
        <v>15956</v>
      </c>
      <c r="H21" s="13">
        <v>26460</v>
      </c>
      <c r="I21" s="13">
        <v>9833</v>
      </c>
      <c r="J21" s="13">
        <v>32729</v>
      </c>
      <c r="K21" s="13">
        <f>345+13072+170</f>
        <v>13587</v>
      </c>
      <c r="L21" s="44">
        <f>367+15807+270</f>
        <v>16444</v>
      </c>
      <c r="M21" s="13">
        <v>16140</v>
      </c>
      <c r="N21" s="44">
        <v>27823</v>
      </c>
      <c r="O21" s="13">
        <v>24074</v>
      </c>
      <c r="P21" s="44">
        <v>22688</v>
      </c>
      <c r="Q21" s="44">
        <f>294+15841+80360-50000</f>
        <v>46495</v>
      </c>
      <c r="R21" s="13">
        <f t="shared" si="3"/>
        <v>260222</v>
      </c>
      <c r="T21" s="262"/>
      <c r="U21" s="44">
        <f>294+15841+80360</f>
        <v>96495</v>
      </c>
    </row>
    <row r="22" spans="3:21">
      <c r="C22" s="129" t="s">
        <v>70</v>
      </c>
      <c r="D22" s="128">
        <f t="shared" si="4"/>
        <v>245534</v>
      </c>
      <c r="E22" s="27">
        <f t="shared" si="5"/>
        <v>15236244.069</v>
      </c>
      <c r="F22" s="13"/>
      <c r="G22" s="13"/>
      <c r="H22" s="13"/>
      <c r="I22" s="13"/>
      <c r="J22" s="13"/>
      <c r="K22" s="13">
        <f>288+26236</f>
        <v>26524</v>
      </c>
      <c r="L22" s="44">
        <f>384+32793</f>
        <v>33177</v>
      </c>
      <c r="M22" s="13">
        <v>34800</v>
      </c>
      <c r="N22" s="44">
        <v>42011</v>
      </c>
      <c r="O22" s="13">
        <v>34686</v>
      </c>
      <c r="P22" s="44">
        <v>36135</v>
      </c>
      <c r="Q22" s="44">
        <f>311+35840+52050-50000</f>
        <v>38201</v>
      </c>
      <c r="R22" s="13">
        <f t="shared" si="3"/>
        <v>245534</v>
      </c>
      <c r="T22" s="262"/>
      <c r="U22" s="44">
        <f>311+35840+52050</f>
        <v>88201</v>
      </c>
    </row>
    <row r="23" spans="3:21">
      <c r="C23" s="127" t="s">
        <v>141</v>
      </c>
      <c r="D23" s="128">
        <f t="shared" si="4"/>
        <v>20393</v>
      </c>
      <c r="E23" s="27">
        <f t="shared" si="5"/>
        <v>1265457.0255</v>
      </c>
      <c r="F23" s="13"/>
      <c r="G23" s="13"/>
      <c r="H23" s="13"/>
      <c r="I23" s="13"/>
      <c r="J23" s="13"/>
      <c r="K23" s="13"/>
      <c r="L23" s="44"/>
      <c r="M23" s="13"/>
      <c r="N23" s="44">
        <v>20393</v>
      </c>
      <c r="O23" s="13"/>
      <c r="P23" s="44"/>
      <c r="Q23" s="44"/>
      <c r="R23" s="13">
        <f t="shared" si="3"/>
        <v>20393</v>
      </c>
      <c r="T23" s="262"/>
      <c r="U23" s="44"/>
    </row>
    <row r="24" spans="3:21">
      <c r="C24" s="129" t="s">
        <v>16</v>
      </c>
      <c r="D24" s="128">
        <f t="shared" si="4"/>
        <v>204381</v>
      </c>
      <c r="E24" s="27">
        <f t="shared" si="5"/>
        <v>12682556.3835</v>
      </c>
      <c r="F24" s="13">
        <v>5562</v>
      </c>
      <c r="G24" s="13">
        <v>12152</v>
      </c>
      <c r="H24" s="13">
        <v>15591</v>
      </c>
      <c r="I24" s="13">
        <v>14985</v>
      </c>
      <c r="J24" s="13">
        <v>12007</v>
      </c>
      <c r="K24" s="13">
        <f>338+17396</f>
        <v>17734</v>
      </c>
      <c r="L24" s="13">
        <f>345+18007</f>
        <v>18352</v>
      </c>
      <c r="M24" s="13">
        <v>20099</v>
      </c>
      <c r="N24" s="44">
        <v>20692</v>
      </c>
      <c r="O24" s="13">
        <v>15519</v>
      </c>
      <c r="P24" s="44">
        <v>18854</v>
      </c>
      <c r="Q24" s="44">
        <f>321+18273+39240-25000</f>
        <v>32834</v>
      </c>
      <c r="R24" s="13">
        <f t="shared" si="3"/>
        <v>204381</v>
      </c>
      <c r="T24" s="262"/>
      <c r="U24" s="44">
        <f>321+18273+39240</f>
        <v>57834</v>
      </c>
    </row>
    <row r="25" spans="3:21">
      <c r="C25" s="127" t="s">
        <v>17</v>
      </c>
      <c r="D25" s="128">
        <f t="shared" si="4"/>
        <v>250132</v>
      </c>
      <c r="E25" s="27">
        <f t="shared" si="5"/>
        <v>15521566.061999999</v>
      </c>
      <c r="F25" s="13">
        <v>7902</v>
      </c>
      <c r="G25" s="13">
        <v>13863</v>
      </c>
      <c r="H25" s="13">
        <v>15135</v>
      </c>
      <c r="I25" s="13">
        <v>12865</v>
      </c>
      <c r="J25" s="13">
        <v>15134</v>
      </c>
      <c r="K25" s="13">
        <f>576+16327</f>
        <v>16903</v>
      </c>
      <c r="L25" s="13">
        <f>653+16919</f>
        <v>17572</v>
      </c>
      <c r="M25" s="13">
        <v>19921</v>
      </c>
      <c r="N25" s="44">
        <v>26614</v>
      </c>
      <c r="O25" s="13">
        <v>23406</v>
      </c>
      <c r="P25" s="44">
        <v>30720</v>
      </c>
      <c r="Q25" s="44">
        <f>688+18131+106278-75000</f>
        <v>50097</v>
      </c>
      <c r="R25" s="13">
        <f t="shared" si="3"/>
        <v>250132</v>
      </c>
      <c r="T25" s="262"/>
      <c r="U25" s="44">
        <f>688+18131+106278</f>
        <v>125097</v>
      </c>
    </row>
    <row r="26" spans="3:21">
      <c r="C26" s="129" t="s">
        <v>19</v>
      </c>
      <c r="D26" s="128">
        <f t="shared" si="4"/>
        <v>501650</v>
      </c>
      <c r="E26" s="27">
        <f t="shared" si="5"/>
        <v>31129138.274999999</v>
      </c>
      <c r="F26" s="13">
        <v>16322</v>
      </c>
      <c r="G26" s="13">
        <v>29545</v>
      </c>
      <c r="H26" s="13">
        <v>37820</v>
      </c>
      <c r="I26" s="13">
        <v>37542</v>
      </c>
      <c r="J26" s="13">
        <v>37465</v>
      </c>
      <c r="K26" s="13">
        <f>580+44721</f>
        <v>45301</v>
      </c>
      <c r="L26" s="13">
        <f>553+45897</f>
        <v>46450</v>
      </c>
      <c r="M26" s="13">
        <v>52781</v>
      </c>
      <c r="N26" s="44">
        <v>55306</v>
      </c>
      <c r="O26" s="13">
        <v>51437</v>
      </c>
      <c r="P26" s="44">
        <v>61825</v>
      </c>
      <c r="Q26" s="44">
        <f>761+51985+277110-300000</f>
        <v>29856</v>
      </c>
      <c r="R26" s="13">
        <f t="shared" si="3"/>
        <v>501650</v>
      </c>
      <c r="T26" s="262"/>
      <c r="U26" s="44">
        <f>761+51985+277110</f>
        <v>329856</v>
      </c>
    </row>
    <row r="27" spans="3:21">
      <c r="C27" s="127" t="s">
        <v>217</v>
      </c>
      <c r="D27" s="128">
        <f t="shared" si="4"/>
        <v>106643</v>
      </c>
      <c r="E27" s="27">
        <f t="shared" si="5"/>
        <v>6617571.4004999995</v>
      </c>
      <c r="F27" s="13"/>
      <c r="G27" s="13"/>
      <c r="H27" s="13"/>
      <c r="I27" s="13"/>
      <c r="J27" s="13"/>
      <c r="K27" s="13"/>
      <c r="L27" s="13"/>
      <c r="M27" s="13"/>
      <c r="N27" s="44"/>
      <c r="O27" s="13">
        <v>8251</v>
      </c>
      <c r="P27" s="44">
        <v>18196</v>
      </c>
      <c r="Q27" s="44">
        <f>546+17070+62580</f>
        <v>80196</v>
      </c>
      <c r="R27" s="13">
        <f t="shared" si="3"/>
        <v>106643</v>
      </c>
      <c r="T27" s="262"/>
      <c r="U27" s="44">
        <f>546+17070+62580</f>
        <v>80196</v>
      </c>
    </row>
    <row r="28" spans="3:21">
      <c r="C28" s="129" t="s">
        <v>20</v>
      </c>
      <c r="D28" s="128">
        <f t="shared" si="4"/>
        <v>342527</v>
      </c>
      <c r="E28" s="27">
        <f t="shared" si="5"/>
        <v>21254999.194499999</v>
      </c>
      <c r="F28" s="13">
        <v>6801</v>
      </c>
      <c r="G28" s="13">
        <v>10270</v>
      </c>
      <c r="H28" s="13">
        <v>12858</v>
      </c>
      <c r="I28" s="13">
        <f>22868+5400</f>
        <v>28268</v>
      </c>
      <c r="J28" s="13">
        <v>12295</v>
      </c>
      <c r="K28" s="13">
        <f>4200+270+28670</f>
        <v>33140</v>
      </c>
      <c r="L28" s="13">
        <f>4200+229+30395</f>
        <v>34824</v>
      </c>
      <c r="M28" s="13">
        <v>38279</v>
      </c>
      <c r="N28" s="44">
        <v>37958</v>
      </c>
      <c r="O28" s="13">
        <v>36592</v>
      </c>
      <c r="P28" s="44">
        <v>39040</v>
      </c>
      <c r="Q28" s="44">
        <f>5250+390+32462+89100-75000</f>
        <v>52202</v>
      </c>
      <c r="R28" s="13">
        <f t="shared" si="3"/>
        <v>342527</v>
      </c>
      <c r="T28" s="262"/>
      <c r="U28" s="44">
        <f>5250+390+32462+89100</f>
        <v>127202</v>
      </c>
    </row>
    <row r="29" spans="3:21">
      <c r="C29" s="127" t="s">
        <v>21</v>
      </c>
      <c r="D29" s="128">
        <f t="shared" si="4"/>
        <v>392427</v>
      </c>
      <c r="E29" s="27">
        <f t="shared" si="5"/>
        <v>24351468.844500002</v>
      </c>
      <c r="F29" s="13">
        <v>10846</v>
      </c>
      <c r="G29" s="13">
        <v>16980</v>
      </c>
      <c r="H29" s="13">
        <v>27090</v>
      </c>
      <c r="I29" s="13">
        <f>23224+1342</f>
        <v>24566</v>
      </c>
      <c r="J29" s="13">
        <v>29308</v>
      </c>
      <c r="K29" s="13">
        <f>1218+528+26329</f>
        <v>28075</v>
      </c>
      <c r="L29" s="13">
        <f>1218+548+28952</f>
        <v>30718</v>
      </c>
      <c r="M29" s="13">
        <v>32417</v>
      </c>
      <c r="N29" s="44">
        <v>34407</v>
      </c>
      <c r="O29" s="13">
        <v>33135</v>
      </c>
      <c r="P29" s="44">
        <v>36553</v>
      </c>
      <c r="Q29" s="44">
        <f>946+556+31170+105660-50000</f>
        <v>88332</v>
      </c>
      <c r="R29" s="13">
        <f t="shared" si="3"/>
        <v>392427</v>
      </c>
      <c r="T29" s="262"/>
      <c r="U29" s="44">
        <f>946+556+31170+105660</f>
        <v>138332</v>
      </c>
    </row>
    <row r="30" spans="3:21">
      <c r="C30" s="129" t="s">
        <v>144</v>
      </c>
      <c r="D30" s="128">
        <f t="shared" si="4"/>
        <v>125414</v>
      </c>
      <c r="E30" s="27">
        <f t="shared" si="5"/>
        <v>7782377.6490000002</v>
      </c>
      <c r="F30" s="13"/>
      <c r="G30" s="13"/>
      <c r="H30" s="13"/>
      <c r="I30" s="13"/>
      <c r="J30" s="13"/>
      <c r="K30" s="13"/>
      <c r="L30" s="13"/>
      <c r="M30" s="13"/>
      <c r="N30" s="44"/>
      <c r="O30" s="13">
        <v>20989</v>
      </c>
      <c r="P30" s="44">
        <v>33710</v>
      </c>
      <c r="Q30" s="44">
        <f>417+33298+112000-75000</f>
        <v>70715</v>
      </c>
      <c r="R30" s="13">
        <f t="shared" si="3"/>
        <v>125414</v>
      </c>
      <c r="T30" s="262"/>
      <c r="U30" s="44">
        <f>417+33298+112000</f>
        <v>145715</v>
      </c>
    </row>
    <row r="31" spans="3:21">
      <c r="C31" s="127" t="s">
        <v>22</v>
      </c>
      <c r="D31" s="128">
        <f t="shared" si="4"/>
        <v>934058</v>
      </c>
      <c r="E31" s="27">
        <f t="shared" si="5"/>
        <v>57961568.103</v>
      </c>
      <c r="F31" s="13">
        <v>17242</v>
      </c>
      <c r="G31" s="13">
        <v>58710</v>
      </c>
      <c r="H31" s="13">
        <v>105349</v>
      </c>
      <c r="I31" s="13">
        <f>46575+25600</f>
        <v>72175</v>
      </c>
      <c r="J31" s="13">
        <v>79440</v>
      </c>
      <c r="K31" s="13">
        <f>23000+1360+48018</f>
        <v>72378</v>
      </c>
      <c r="L31" s="13">
        <f>25750+1570+45650</f>
        <v>72970</v>
      </c>
      <c r="M31" s="13">
        <v>71310</v>
      </c>
      <c r="N31" s="44">
        <v>70962</v>
      </c>
      <c r="O31" s="13">
        <v>59830</v>
      </c>
      <c r="P31" s="44">
        <v>73832</v>
      </c>
      <c r="Q31" s="44">
        <f>19500+65518+94842</f>
        <v>179860</v>
      </c>
      <c r="R31" s="13">
        <f t="shared" si="3"/>
        <v>934058</v>
      </c>
      <c r="S31" s="16"/>
      <c r="T31" s="262"/>
      <c r="U31" s="44">
        <f>19500+655182</f>
        <v>674682</v>
      </c>
    </row>
    <row r="32" spans="3:21">
      <c r="C32" s="129" t="s">
        <v>145</v>
      </c>
      <c r="D32" s="128">
        <f t="shared" si="4"/>
        <v>18410</v>
      </c>
      <c r="E32" s="27">
        <f t="shared" si="5"/>
        <v>1142404.9350000001</v>
      </c>
      <c r="F32" s="13"/>
      <c r="G32" s="13"/>
      <c r="H32" s="13"/>
      <c r="I32" s="13"/>
      <c r="J32" s="13"/>
      <c r="K32" s="13"/>
      <c r="L32" s="13"/>
      <c r="M32" s="13"/>
      <c r="N32" s="44"/>
      <c r="O32" s="41">
        <v>2456</v>
      </c>
      <c r="P32" s="44">
        <v>13231</v>
      </c>
      <c r="Q32" s="44">
        <f>631+2092</f>
        <v>2723</v>
      </c>
      <c r="R32" s="13">
        <f t="shared" si="3"/>
        <v>18410</v>
      </c>
      <c r="S32" s="16"/>
      <c r="T32" s="262"/>
      <c r="U32" s="44">
        <f>631+2092</f>
        <v>2723</v>
      </c>
    </row>
    <row r="33" spans="3:21">
      <c r="C33" s="127" t="s">
        <v>62</v>
      </c>
      <c r="D33" s="128">
        <f t="shared" si="4"/>
        <v>238478</v>
      </c>
      <c r="E33" s="27">
        <f t="shared" si="5"/>
        <v>14798394.573000001</v>
      </c>
      <c r="F33" s="13"/>
      <c r="G33" s="13">
        <v>5269</v>
      </c>
      <c r="H33" s="13">
        <v>15809</v>
      </c>
      <c r="I33" s="13">
        <v>16269</v>
      </c>
      <c r="J33" s="13">
        <v>18027</v>
      </c>
      <c r="K33" s="13">
        <f>325+16377</f>
        <v>16702</v>
      </c>
      <c r="L33" s="44">
        <f>335+16366</f>
        <v>16701</v>
      </c>
      <c r="M33" s="13">
        <v>18498</v>
      </c>
      <c r="N33" s="44">
        <v>19053</v>
      </c>
      <c r="O33" s="13">
        <v>18026</v>
      </c>
      <c r="P33" s="44">
        <v>21106</v>
      </c>
      <c r="Q33" s="44">
        <f>313+13505+59200</f>
        <v>73018</v>
      </c>
      <c r="R33" s="13">
        <f t="shared" si="3"/>
        <v>238478</v>
      </c>
      <c r="T33" s="262"/>
      <c r="U33" s="44">
        <f>313+13505+59200</f>
        <v>73018</v>
      </c>
    </row>
    <row r="34" spans="3:21">
      <c r="C34" s="129" t="s">
        <v>64</v>
      </c>
      <c r="D34" s="128">
        <f t="shared" si="4"/>
        <v>164644</v>
      </c>
      <c r="E34" s="27">
        <f t="shared" si="5"/>
        <v>10216736.454</v>
      </c>
      <c r="F34" s="13"/>
      <c r="G34" s="13">
        <v>9993</v>
      </c>
      <c r="H34" s="13">
        <v>13948</v>
      </c>
      <c r="I34" s="13">
        <v>14589</v>
      </c>
      <c r="J34" s="13">
        <v>13743</v>
      </c>
      <c r="K34" s="13">
        <f>510+13942</f>
        <v>14452</v>
      </c>
      <c r="L34" s="13">
        <f>525+14372</f>
        <v>14897</v>
      </c>
      <c r="M34" s="13">
        <v>15363</v>
      </c>
      <c r="N34" s="44">
        <v>17147</v>
      </c>
      <c r="O34" s="13">
        <v>15566</v>
      </c>
      <c r="P34" s="44">
        <v>18015</v>
      </c>
      <c r="Q34" s="44">
        <f>525+15706+700</f>
        <v>16931</v>
      </c>
      <c r="R34" s="13">
        <f t="shared" si="3"/>
        <v>164644</v>
      </c>
      <c r="T34" s="262"/>
      <c r="U34" s="44">
        <f>525+15706+700</f>
        <v>16931</v>
      </c>
    </row>
    <row r="35" spans="3:21">
      <c r="C35" s="127" t="s">
        <v>45</v>
      </c>
      <c r="D35" s="128">
        <f t="shared" si="4"/>
        <v>281546</v>
      </c>
      <c r="E35" s="27">
        <f t="shared" si="5"/>
        <v>17470914.710999999</v>
      </c>
      <c r="F35" s="13">
        <v>13586</v>
      </c>
      <c r="G35" s="13">
        <v>22117</v>
      </c>
      <c r="H35" s="13">
        <v>23729</v>
      </c>
      <c r="I35" s="13">
        <v>17647</v>
      </c>
      <c r="J35" s="13">
        <v>22268</v>
      </c>
      <c r="K35" s="13">
        <f>378+25378</f>
        <v>25756</v>
      </c>
      <c r="L35" s="13">
        <f>378+25430</f>
        <v>25808</v>
      </c>
      <c r="M35" s="13">
        <v>27221</v>
      </c>
      <c r="N35" s="44">
        <v>24403</v>
      </c>
      <c r="O35" s="13">
        <v>28162</v>
      </c>
      <c r="P35" s="44">
        <v>28678</v>
      </c>
      <c r="Q35" s="44">
        <f>414+19107+52650-50000</f>
        <v>22171</v>
      </c>
      <c r="R35" s="13">
        <f t="shared" si="3"/>
        <v>281546</v>
      </c>
      <c r="T35" s="262"/>
      <c r="U35" s="44">
        <f>414+19107+52650</f>
        <v>72171</v>
      </c>
    </row>
    <row r="36" spans="3:21">
      <c r="C36" s="129" t="s">
        <v>23</v>
      </c>
      <c r="D36" s="128">
        <f t="shared" si="4"/>
        <v>422768</v>
      </c>
      <c r="E36" s="27">
        <f t="shared" si="5"/>
        <v>26234234.088</v>
      </c>
      <c r="F36" s="13">
        <v>14015</v>
      </c>
      <c r="G36" s="13">
        <v>24652</v>
      </c>
      <c r="H36" s="13">
        <v>30535</v>
      </c>
      <c r="I36" s="13">
        <f>28780+1870</f>
        <v>30650</v>
      </c>
      <c r="J36" s="13">
        <v>36654</v>
      </c>
      <c r="K36" s="13">
        <f>2585+337+34628</f>
        <v>37550</v>
      </c>
      <c r="L36" s="13">
        <f>2764+426+32917</f>
        <v>36107</v>
      </c>
      <c r="M36" s="13">
        <v>36635</v>
      </c>
      <c r="N36" s="44">
        <v>37067</v>
      </c>
      <c r="O36" s="13">
        <v>45202</v>
      </c>
      <c r="P36" s="44">
        <v>46023</v>
      </c>
      <c r="Q36" s="44">
        <f>2662+901+40850+153265-150000</f>
        <v>47678</v>
      </c>
      <c r="R36" s="13">
        <f t="shared" si="3"/>
        <v>422768</v>
      </c>
      <c r="T36" s="262"/>
      <c r="U36" s="44">
        <f>2662+901+40850+153265</f>
        <v>197678</v>
      </c>
    </row>
    <row r="37" spans="3:21">
      <c r="C37" s="127" t="s">
        <v>146</v>
      </c>
      <c r="D37" s="128">
        <f t="shared" si="4"/>
        <v>15309</v>
      </c>
      <c r="E37" s="27">
        <f t="shared" si="5"/>
        <v>949977.03150000004</v>
      </c>
      <c r="F37" s="13"/>
      <c r="G37" s="13"/>
      <c r="H37" s="13"/>
      <c r="I37" s="13"/>
      <c r="J37" s="13"/>
      <c r="K37" s="13"/>
      <c r="L37" s="13"/>
      <c r="M37" s="13"/>
      <c r="N37" s="44"/>
      <c r="O37" s="13">
        <v>823</v>
      </c>
      <c r="P37" s="44">
        <v>12119</v>
      </c>
      <c r="Q37" s="44">
        <f>275+2092</f>
        <v>2367</v>
      </c>
      <c r="R37" s="13">
        <f t="shared" si="3"/>
        <v>15309</v>
      </c>
      <c r="T37" s="262"/>
      <c r="U37" s="44">
        <f>275+2092</f>
        <v>2367</v>
      </c>
    </row>
    <row r="38" spans="3:21">
      <c r="C38" s="129" t="s">
        <v>65</v>
      </c>
      <c r="D38" s="128">
        <f t="shared" si="4"/>
        <v>65944</v>
      </c>
      <c r="E38" s="27">
        <f t="shared" si="5"/>
        <v>4092056.0040000002</v>
      </c>
      <c r="F38" s="13"/>
      <c r="G38" s="13">
        <v>5157</v>
      </c>
      <c r="H38" s="13">
        <v>6453</v>
      </c>
      <c r="I38" s="13">
        <v>5368</v>
      </c>
      <c r="J38" s="13">
        <v>5919</v>
      </c>
      <c r="K38" s="13">
        <f>151+5515</f>
        <v>5666</v>
      </c>
      <c r="L38" s="13">
        <f>159+5856</f>
        <v>6015</v>
      </c>
      <c r="M38" s="13">
        <v>6311</v>
      </c>
      <c r="N38" s="44">
        <v>6345</v>
      </c>
      <c r="O38" s="13">
        <v>6047</v>
      </c>
      <c r="P38" s="44">
        <v>6315</v>
      </c>
      <c r="Q38" s="44">
        <f>187+6161</f>
        <v>6348</v>
      </c>
      <c r="R38" s="13">
        <f t="shared" si="3"/>
        <v>65944</v>
      </c>
      <c r="T38" s="262"/>
      <c r="U38" s="44">
        <f>187+6161</f>
        <v>6348</v>
      </c>
    </row>
    <row r="39" spans="3:21">
      <c r="C39" s="127" t="s">
        <v>25</v>
      </c>
      <c r="D39" s="128">
        <f t="shared" si="4"/>
        <v>87670</v>
      </c>
      <c r="E39" s="27">
        <f t="shared" si="5"/>
        <v>5440230.3449999997</v>
      </c>
      <c r="F39" s="13">
        <v>4602</v>
      </c>
      <c r="G39" s="13">
        <v>7125</v>
      </c>
      <c r="H39" s="13">
        <v>8215</v>
      </c>
      <c r="I39" s="13">
        <v>6774</v>
      </c>
      <c r="J39" s="13">
        <v>7507</v>
      </c>
      <c r="K39" s="13">
        <f>210+7289</f>
        <v>7499</v>
      </c>
      <c r="L39" s="13">
        <f>210+7195</f>
        <v>7405</v>
      </c>
      <c r="M39" s="13">
        <v>7769</v>
      </c>
      <c r="N39" s="44">
        <v>7765</v>
      </c>
      <c r="O39" s="13">
        <v>7417</v>
      </c>
      <c r="P39" s="44">
        <v>7793</v>
      </c>
      <c r="Q39" s="44">
        <f>220+7579</f>
        <v>7799</v>
      </c>
      <c r="R39" s="13">
        <f t="shared" ref="R39:R65" si="6">SUM(F39:Q39)</f>
        <v>87670</v>
      </c>
      <c r="T39" s="262"/>
      <c r="U39" s="44">
        <f>220+7579</f>
        <v>7799</v>
      </c>
    </row>
    <row r="40" spans="3:21">
      <c r="C40" s="129" t="s">
        <v>63</v>
      </c>
      <c r="D40" s="128">
        <f t="shared" si="4"/>
        <v>67518</v>
      </c>
      <c r="E40" s="27">
        <f t="shared" si="5"/>
        <v>4189728.213</v>
      </c>
      <c r="F40" s="13"/>
      <c r="G40" s="13">
        <v>5240</v>
      </c>
      <c r="H40" s="13">
        <v>6449</v>
      </c>
      <c r="I40" s="13">
        <v>5438</v>
      </c>
      <c r="J40" s="13">
        <v>6095</v>
      </c>
      <c r="K40" s="13">
        <f>168+5964</f>
        <v>6132</v>
      </c>
      <c r="L40" s="13">
        <f>158+5917</f>
        <v>6075</v>
      </c>
      <c r="M40" s="13">
        <v>6581</v>
      </c>
      <c r="N40" s="44">
        <v>6408</v>
      </c>
      <c r="O40" s="13">
        <v>6142</v>
      </c>
      <c r="P40" s="44">
        <v>6462</v>
      </c>
      <c r="Q40" s="44">
        <f>176+6320</f>
        <v>6496</v>
      </c>
      <c r="R40" s="13">
        <f t="shared" si="6"/>
        <v>67518</v>
      </c>
      <c r="T40" s="262"/>
      <c r="U40" s="44">
        <f>176+6320</f>
        <v>6496</v>
      </c>
    </row>
    <row r="41" spans="3:21">
      <c r="C41" s="127" t="s">
        <v>24</v>
      </c>
      <c r="D41" s="128">
        <f t="shared" si="4"/>
        <v>211186</v>
      </c>
      <c r="E41" s="27">
        <f t="shared" si="5"/>
        <v>13104830.450999999</v>
      </c>
      <c r="F41" s="13">
        <v>8190</v>
      </c>
      <c r="G41" s="13">
        <v>14156</v>
      </c>
      <c r="H41" s="13">
        <v>20516</v>
      </c>
      <c r="I41" s="13">
        <v>14685</v>
      </c>
      <c r="J41" s="13">
        <v>17695</v>
      </c>
      <c r="K41" s="13">
        <f>518+16883</f>
        <v>17401</v>
      </c>
      <c r="L41" s="13">
        <f>576+16934</f>
        <v>17510</v>
      </c>
      <c r="M41" s="13">
        <v>17556</v>
      </c>
      <c r="N41" s="44">
        <v>18953</v>
      </c>
      <c r="O41" s="13">
        <v>18826</v>
      </c>
      <c r="P41" s="44">
        <v>24847</v>
      </c>
      <c r="Q41" s="44">
        <f>842+20709+99300-100000</f>
        <v>20851</v>
      </c>
      <c r="R41" s="13">
        <f t="shared" si="6"/>
        <v>211186</v>
      </c>
      <c r="T41" s="262"/>
      <c r="U41" s="44">
        <f>842+20709+99300</f>
        <v>120851</v>
      </c>
    </row>
    <row r="42" spans="3:21" ht="15.75">
      <c r="C42" s="133" t="s">
        <v>60</v>
      </c>
      <c r="D42" s="128">
        <f t="shared" si="4"/>
        <v>320726</v>
      </c>
      <c r="E42" s="27">
        <f t="shared" si="5"/>
        <v>19902170.840999998</v>
      </c>
      <c r="F42" s="13">
        <v>9496</v>
      </c>
      <c r="G42" s="13">
        <v>18651</v>
      </c>
      <c r="H42" s="13">
        <v>26079</v>
      </c>
      <c r="I42" s="13">
        <v>22983</v>
      </c>
      <c r="J42" s="13">
        <v>27884</v>
      </c>
      <c r="K42" s="13">
        <f>700+28371+500</f>
        <v>29571</v>
      </c>
      <c r="L42" s="13">
        <f>712+30055+300</f>
        <v>31067</v>
      </c>
      <c r="M42" s="13">
        <v>30494</v>
      </c>
      <c r="N42" s="44">
        <v>35949</v>
      </c>
      <c r="O42" s="13">
        <v>35933</v>
      </c>
      <c r="P42" s="44">
        <v>38908</v>
      </c>
      <c r="Q42" s="44">
        <f>710+37611+75390-100000</f>
        <v>13711</v>
      </c>
      <c r="R42" s="13">
        <f t="shared" si="6"/>
        <v>320726</v>
      </c>
      <c r="T42" s="262"/>
      <c r="U42" s="44">
        <f>710+37611+75390</f>
        <v>113711</v>
      </c>
    </row>
    <row r="43" spans="3:21">
      <c r="C43" s="127" t="s">
        <v>26</v>
      </c>
      <c r="D43" s="128">
        <f t="shared" si="4"/>
        <v>325781</v>
      </c>
      <c r="E43" s="27">
        <f t="shared" si="5"/>
        <v>20215851.283500001</v>
      </c>
      <c r="F43" s="13">
        <v>5751</v>
      </c>
      <c r="G43" s="13">
        <v>9117</v>
      </c>
      <c r="H43" s="13">
        <v>11106</v>
      </c>
      <c r="I43" s="13">
        <v>23521</v>
      </c>
      <c r="J43" s="13">
        <v>11752</v>
      </c>
      <c r="K43" s="13">
        <f>1248+27431</f>
        <v>28679</v>
      </c>
      <c r="L43" s="13">
        <f>1152+28203</f>
        <v>29355</v>
      </c>
      <c r="M43" s="13">
        <v>30693</v>
      </c>
      <c r="N43" s="44">
        <v>30414</v>
      </c>
      <c r="O43" s="13">
        <v>31700</v>
      </c>
      <c r="P43" s="44">
        <v>35796</v>
      </c>
      <c r="Q43" s="44">
        <f>1344+74753+1800</f>
        <v>77897</v>
      </c>
      <c r="R43" s="13">
        <f t="shared" si="6"/>
        <v>325781</v>
      </c>
      <c r="T43" s="262"/>
      <c r="U43" s="44">
        <f>1344+74753+1800</f>
        <v>77897</v>
      </c>
    </row>
    <row r="44" spans="3:21">
      <c r="C44" s="129" t="s">
        <v>27</v>
      </c>
      <c r="D44" s="128">
        <f t="shared" si="4"/>
        <v>279548</v>
      </c>
      <c r="E44" s="27">
        <f t="shared" si="5"/>
        <v>17346931.818</v>
      </c>
      <c r="F44" s="13">
        <v>18614</v>
      </c>
      <c r="G44" s="13">
        <v>34978</v>
      </c>
      <c r="H44" s="13">
        <v>40106</v>
      </c>
      <c r="I44" s="13">
        <v>11313</v>
      </c>
      <c r="J44" s="13">
        <v>40641</v>
      </c>
      <c r="K44" s="13">
        <f>391+11470</f>
        <v>11861</v>
      </c>
      <c r="L44" s="13">
        <f>391+11607</f>
        <v>11998</v>
      </c>
      <c r="M44" s="13">
        <v>13034</v>
      </c>
      <c r="N44" s="44">
        <v>13962</v>
      </c>
      <c r="O44" s="13">
        <v>15507</v>
      </c>
      <c r="P44" s="44">
        <v>21149</v>
      </c>
      <c r="Q44" s="44">
        <f>400+16885+29100</f>
        <v>46385</v>
      </c>
      <c r="R44" s="13">
        <f t="shared" si="6"/>
        <v>279548</v>
      </c>
      <c r="T44" s="262"/>
      <c r="U44" s="44">
        <f>400+16885+29100</f>
        <v>46385</v>
      </c>
    </row>
    <row r="45" spans="3:21">
      <c r="C45" s="127" t="s">
        <v>35</v>
      </c>
      <c r="D45" s="128">
        <f t="shared" si="4"/>
        <v>285620</v>
      </c>
      <c r="E45" s="27">
        <f>+D45*62.0535</f>
        <v>17723720.669999998</v>
      </c>
      <c r="F45" s="13">
        <v>13761</v>
      </c>
      <c r="G45" s="13">
        <v>27131</v>
      </c>
      <c r="H45" s="13">
        <v>24986</v>
      </c>
      <c r="I45" s="13">
        <v>15484</v>
      </c>
      <c r="J45" s="13">
        <v>17320</v>
      </c>
      <c r="K45" s="13">
        <f>630+16713</f>
        <v>17343</v>
      </c>
      <c r="L45" s="13">
        <f>641+17369</f>
        <v>18010</v>
      </c>
      <c r="M45" s="13">
        <v>23921</v>
      </c>
      <c r="N45" s="44">
        <v>24943</v>
      </c>
      <c r="O45" s="13">
        <v>26762</v>
      </c>
      <c r="P45" s="44">
        <v>27402</v>
      </c>
      <c r="Q45" s="44">
        <f>390+21047+27120</f>
        <v>48557</v>
      </c>
      <c r="R45" s="13">
        <f t="shared" si="6"/>
        <v>285620</v>
      </c>
      <c r="T45" s="262"/>
      <c r="U45" s="44">
        <f>390+21047+27120</f>
        <v>48557</v>
      </c>
    </row>
    <row r="46" spans="3:21">
      <c r="C46" s="129" t="s">
        <v>44</v>
      </c>
      <c r="D46" s="128">
        <f t="shared" si="4"/>
        <v>219199</v>
      </c>
      <c r="E46" s="27">
        <f t="shared" ref="E46:E55" si="7">+D46*62.0535</f>
        <v>13602065.146500001</v>
      </c>
      <c r="F46" s="13">
        <v>8168</v>
      </c>
      <c r="G46" s="13">
        <v>10857</v>
      </c>
      <c r="H46" s="13">
        <v>11225</v>
      </c>
      <c r="I46" s="13">
        <v>10235</v>
      </c>
      <c r="J46" s="13">
        <v>11541</v>
      </c>
      <c r="K46" s="13">
        <f>350+10779</f>
        <v>11129</v>
      </c>
      <c r="L46" s="13">
        <f>384+12169</f>
        <v>12553</v>
      </c>
      <c r="M46" s="13">
        <v>12864</v>
      </c>
      <c r="N46" s="44">
        <v>13766</v>
      </c>
      <c r="O46" s="13">
        <v>15292</v>
      </c>
      <c r="P46" s="44">
        <v>22295</v>
      </c>
      <c r="Q46" s="44">
        <f>832+14122+64320</f>
        <v>79274</v>
      </c>
      <c r="R46" s="13">
        <f t="shared" si="6"/>
        <v>219199</v>
      </c>
      <c r="T46" s="262"/>
      <c r="U46" s="44">
        <f>832+14122+64320</f>
        <v>79274</v>
      </c>
    </row>
    <row r="47" spans="3:21">
      <c r="C47" s="127" t="s">
        <v>61</v>
      </c>
      <c r="D47" s="128">
        <f t="shared" si="4"/>
        <v>290937</v>
      </c>
      <c r="E47" s="27">
        <f t="shared" si="7"/>
        <v>18053659.129500002</v>
      </c>
      <c r="F47" s="13">
        <v>8543</v>
      </c>
      <c r="G47" s="13">
        <v>13347</v>
      </c>
      <c r="H47" s="13">
        <v>16480</v>
      </c>
      <c r="I47" s="13">
        <v>13841</v>
      </c>
      <c r="J47" s="13">
        <v>22243</v>
      </c>
      <c r="K47" s="13">
        <f>433+23054</f>
        <v>23487</v>
      </c>
      <c r="L47" s="13">
        <f>551+33664</f>
        <v>34215</v>
      </c>
      <c r="M47" s="13">
        <v>26512</v>
      </c>
      <c r="N47" s="44">
        <v>30954</v>
      </c>
      <c r="O47" s="13">
        <v>30512</v>
      </c>
      <c r="P47" s="44">
        <v>37036</v>
      </c>
      <c r="Q47" s="44">
        <f>497+33270</f>
        <v>33767</v>
      </c>
      <c r="R47" s="13">
        <f t="shared" si="6"/>
        <v>290937</v>
      </c>
      <c r="T47" s="262"/>
      <c r="U47" s="44">
        <f>497+33270</f>
        <v>33767</v>
      </c>
    </row>
    <row r="48" spans="3:21">
      <c r="C48" s="129" t="s">
        <v>41</v>
      </c>
      <c r="D48" s="128">
        <f t="shared" si="4"/>
        <v>262736</v>
      </c>
      <c r="E48" s="27">
        <f t="shared" si="7"/>
        <v>16303688.376</v>
      </c>
      <c r="F48" s="13">
        <v>18850</v>
      </c>
      <c r="G48" s="13">
        <v>35195</v>
      </c>
      <c r="H48" s="13">
        <v>42588</v>
      </c>
      <c r="I48" s="13">
        <v>10891</v>
      </c>
      <c r="J48" s="13">
        <v>40806</v>
      </c>
      <c r="K48" s="13">
        <f>680+12059</f>
        <v>12739</v>
      </c>
      <c r="L48" s="13">
        <f>708+11400</f>
        <v>12108</v>
      </c>
      <c r="M48" s="13">
        <v>12192</v>
      </c>
      <c r="N48" s="44">
        <v>15709</v>
      </c>
      <c r="O48" s="13">
        <v>15809</v>
      </c>
      <c r="P48" s="44">
        <v>15435</v>
      </c>
      <c r="Q48" s="44">
        <f>695+11419+18300</f>
        <v>30414</v>
      </c>
      <c r="R48" s="13">
        <f t="shared" si="6"/>
        <v>262736</v>
      </c>
      <c r="T48" s="262"/>
      <c r="U48" s="44">
        <f>695+11419+18300</f>
        <v>30414</v>
      </c>
    </row>
    <row r="49" spans="3:24">
      <c r="C49" s="127" t="s">
        <v>30</v>
      </c>
      <c r="D49" s="128">
        <f t="shared" si="4"/>
        <v>353408</v>
      </c>
      <c r="E49" s="27">
        <f t="shared" si="7"/>
        <v>21930203.328000002</v>
      </c>
      <c r="F49" s="13">
        <v>7968</v>
      </c>
      <c r="G49" s="13">
        <v>15796</v>
      </c>
      <c r="H49" s="13">
        <v>20576</v>
      </c>
      <c r="I49" s="13">
        <v>19048</v>
      </c>
      <c r="J49" s="13">
        <v>21789</v>
      </c>
      <c r="K49" s="13">
        <f>316+21886</f>
        <v>22202</v>
      </c>
      <c r="L49" s="13">
        <f>323+24500</f>
        <v>24823</v>
      </c>
      <c r="M49" s="13">
        <v>31721</v>
      </c>
      <c r="N49" s="44">
        <v>36055</v>
      </c>
      <c r="O49" s="13">
        <v>27617</v>
      </c>
      <c r="P49" s="44">
        <v>46029</v>
      </c>
      <c r="Q49" s="44">
        <f>402+27986+101396-50000</f>
        <v>79784</v>
      </c>
      <c r="R49" s="13">
        <f t="shared" si="6"/>
        <v>353408</v>
      </c>
      <c r="T49" s="262"/>
      <c r="U49" s="44">
        <f>402+27986+101396</f>
        <v>129784</v>
      </c>
    </row>
    <row r="50" spans="3:24">
      <c r="C50" s="129" t="s">
        <v>28</v>
      </c>
      <c r="D50" s="128">
        <f t="shared" si="4"/>
        <v>284593</v>
      </c>
      <c r="E50" s="27">
        <f t="shared" si="7"/>
        <v>17659991.725499999</v>
      </c>
      <c r="F50" s="13">
        <v>8566</v>
      </c>
      <c r="G50" s="13">
        <v>17754</v>
      </c>
      <c r="H50" s="13">
        <v>25762</v>
      </c>
      <c r="I50" s="13">
        <v>22634</v>
      </c>
      <c r="J50" s="13">
        <v>10917</v>
      </c>
      <c r="K50" s="13">
        <f>635+27880</f>
        <v>28515</v>
      </c>
      <c r="L50" s="13">
        <f>595+27045</f>
        <v>27640</v>
      </c>
      <c r="M50" s="13">
        <v>28119</v>
      </c>
      <c r="N50" s="44">
        <v>27605</v>
      </c>
      <c r="O50" s="13">
        <v>27297</v>
      </c>
      <c r="P50" s="44">
        <v>27986</v>
      </c>
      <c r="Q50" s="44">
        <f>576+23019+108203-100000</f>
        <v>31798</v>
      </c>
      <c r="R50" s="13">
        <f t="shared" si="6"/>
        <v>284593</v>
      </c>
      <c r="T50" s="262"/>
      <c r="U50" s="44">
        <f>576+23019+108203</f>
        <v>131798</v>
      </c>
    </row>
    <row r="51" spans="3:24">
      <c r="C51" s="127" t="s">
        <v>34</v>
      </c>
      <c r="D51" s="128">
        <f t="shared" si="4"/>
        <v>269321</v>
      </c>
      <c r="E51" s="27">
        <f t="shared" si="7"/>
        <v>16712310.6735</v>
      </c>
      <c r="F51" s="13">
        <v>8443</v>
      </c>
      <c r="G51" s="13">
        <v>15531</v>
      </c>
      <c r="H51" s="13">
        <v>19599</v>
      </c>
      <c r="I51" s="13">
        <v>18486</v>
      </c>
      <c r="J51" s="13">
        <v>20451</v>
      </c>
      <c r="K51" s="13">
        <f>315+19528</f>
        <v>19843</v>
      </c>
      <c r="L51" s="13">
        <f>315+23194</f>
        <v>23509</v>
      </c>
      <c r="M51" s="13">
        <v>22746</v>
      </c>
      <c r="N51" s="44">
        <v>23813</v>
      </c>
      <c r="O51" s="13">
        <v>22128</v>
      </c>
      <c r="P51" s="44">
        <v>23280</v>
      </c>
      <c r="Q51" s="44">
        <f>360+19422+31710</f>
        <v>51492</v>
      </c>
      <c r="R51" s="13">
        <f t="shared" si="6"/>
        <v>269321</v>
      </c>
      <c r="T51" s="262"/>
      <c r="U51" s="44">
        <f>360+19422+31710</f>
        <v>51492</v>
      </c>
    </row>
    <row r="52" spans="3:24">
      <c r="C52" s="129" t="s">
        <v>29</v>
      </c>
      <c r="D52" s="128">
        <f t="shared" si="4"/>
        <v>216558</v>
      </c>
      <c r="E52" s="27">
        <f t="shared" si="7"/>
        <v>13438181.853</v>
      </c>
      <c r="F52" s="13">
        <v>8544</v>
      </c>
      <c r="G52" s="13">
        <v>15070</v>
      </c>
      <c r="H52" s="13">
        <v>17172</v>
      </c>
      <c r="I52" s="13">
        <v>14505</v>
      </c>
      <c r="J52" s="13">
        <v>16748</v>
      </c>
      <c r="K52" s="13">
        <f>387+14387</f>
        <v>14774</v>
      </c>
      <c r="L52" s="13">
        <f>4040+491+14550</f>
        <v>19081</v>
      </c>
      <c r="M52" s="13">
        <v>18905</v>
      </c>
      <c r="N52" s="44">
        <v>17705</v>
      </c>
      <c r="O52" s="13">
        <v>17460</v>
      </c>
      <c r="P52" s="44">
        <v>22997</v>
      </c>
      <c r="Q52" s="44">
        <f>465+22402+110730-100000</f>
        <v>33597</v>
      </c>
      <c r="R52" s="13">
        <f t="shared" si="6"/>
        <v>216558</v>
      </c>
      <c r="T52" s="262"/>
      <c r="U52" s="44">
        <f>465+22402+110730</f>
        <v>133597</v>
      </c>
    </row>
    <row r="53" spans="3:24">
      <c r="C53" s="127" t="s">
        <v>38</v>
      </c>
      <c r="D53" s="128">
        <f t="shared" si="4"/>
        <v>435077</v>
      </c>
      <c r="E53" s="27">
        <f t="shared" si="7"/>
        <v>26998050.6195</v>
      </c>
      <c r="F53" s="13">
        <v>16303</v>
      </c>
      <c r="G53" s="13">
        <v>30849</v>
      </c>
      <c r="H53" s="13">
        <v>33653</v>
      </c>
      <c r="I53" s="13">
        <v>31139</v>
      </c>
      <c r="J53" s="13">
        <v>31029</v>
      </c>
      <c r="K53" s="13">
        <f>646+40244</f>
        <v>40890</v>
      </c>
      <c r="L53" s="13">
        <f>675+43201</f>
        <v>43876</v>
      </c>
      <c r="M53" s="13">
        <v>47039</v>
      </c>
      <c r="N53" s="44">
        <v>43895</v>
      </c>
      <c r="O53" s="13">
        <v>40780</v>
      </c>
      <c r="P53" s="44">
        <v>46420</v>
      </c>
      <c r="Q53" s="44">
        <f>566+45748+82890-100000</f>
        <v>29204</v>
      </c>
      <c r="R53" s="13">
        <f t="shared" si="6"/>
        <v>435077</v>
      </c>
      <c r="T53" s="262"/>
      <c r="U53" s="44">
        <f>566+45748+82890</f>
        <v>129204</v>
      </c>
    </row>
    <row r="54" spans="3:24">
      <c r="C54" s="129" t="s">
        <v>40</v>
      </c>
      <c r="D54" s="128">
        <f t="shared" si="4"/>
        <v>339686</v>
      </c>
      <c r="E54" s="27">
        <f t="shared" si="7"/>
        <v>21078705.201000001</v>
      </c>
      <c r="F54" s="13">
        <v>5454</v>
      </c>
      <c r="G54" s="13">
        <v>12866</v>
      </c>
      <c r="H54" s="13">
        <v>12006</v>
      </c>
      <c r="I54" s="13">
        <v>15525</v>
      </c>
      <c r="J54" s="13">
        <v>24156</v>
      </c>
      <c r="K54" s="13">
        <f>672+27758</f>
        <v>28430</v>
      </c>
      <c r="L54" s="13">
        <f>672+29969</f>
        <v>30641</v>
      </c>
      <c r="M54" s="13">
        <v>36290</v>
      </c>
      <c r="N54" s="44">
        <v>37335</v>
      </c>
      <c r="O54" s="13">
        <v>35163</v>
      </c>
      <c r="P54" s="44">
        <v>49349</v>
      </c>
      <c r="Q54" s="44">
        <f>704+43967+7800</f>
        <v>52471</v>
      </c>
      <c r="R54" s="13">
        <f t="shared" si="6"/>
        <v>339686</v>
      </c>
      <c r="T54" s="262"/>
      <c r="U54" s="44">
        <f>704+43967+7800</f>
        <v>52471</v>
      </c>
    </row>
    <row r="55" spans="3:24">
      <c r="C55" s="127" t="s">
        <v>143</v>
      </c>
      <c r="D55" s="128">
        <f t="shared" si="4"/>
        <v>72483</v>
      </c>
      <c r="E55" s="27">
        <f t="shared" si="7"/>
        <v>4497823.8404999999</v>
      </c>
      <c r="F55" s="13"/>
      <c r="G55" s="13"/>
      <c r="H55" s="13"/>
      <c r="I55" s="13"/>
      <c r="J55" s="13"/>
      <c r="K55" s="13"/>
      <c r="L55" s="13"/>
      <c r="M55" s="13"/>
      <c r="N55" s="44"/>
      <c r="O55" s="13">
        <v>16461</v>
      </c>
      <c r="P55" s="44">
        <v>27224</v>
      </c>
      <c r="Q55" s="44">
        <f>360+28678+74760-75000</f>
        <v>28798</v>
      </c>
      <c r="R55" s="13">
        <f t="shared" si="6"/>
        <v>72483</v>
      </c>
      <c r="T55" s="262"/>
      <c r="U55" s="44">
        <f>360+28678+74760</f>
        <v>103798</v>
      </c>
    </row>
    <row r="56" spans="3:24">
      <c r="C56" s="129" t="s">
        <v>31</v>
      </c>
      <c r="D56" s="128">
        <f t="shared" si="4"/>
        <v>344281</v>
      </c>
      <c r="E56" s="27">
        <f>+D56*62.0534</f>
        <v>21363806.6054</v>
      </c>
      <c r="F56" s="13">
        <v>11908</v>
      </c>
      <c r="G56" s="13">
        <v>21469</v>
      </c>
      <c r="H56" s="13">
        <v>28581</v>
      </c>
      <c r="I56" s="13">
        <v>22764</v>
      </c>
      <c r="J56" s="13">
        <v>31226</v>
      </c>
      <c r="K56" s="13">
        <f>527+26895</f>
        <v>27422</v>
      </c>
      <c r="L56" s="13">
        <f>532+25947</f>
        <v>26479</v>
      </c>
      <c r="M56" s="13">
        <v>32111</v>
      </c>
      <c r="N56" s="44">
        <v>28847</v>
      </c>
      <c r="O56" s="13">
        <v>28271</v>
      </c>
      <c r="P56" s="44">
        <v>35159</v>
      </c>
      <c r="Q56" s="44">
        <f>625+149419-100000</f>
        <v>50044</v>
      </c>
      <c r="R56" s="13">
        <f t="shared" si="6"/>
        <v>344281</v>
      </c>
      <c r="T56" s="262"/>
      <c r="U56" s="44">
        <f>625+149419</f>
        <v>150044</v>
      </c>
    </row>
    <row r="57" spans="3:24">
      <c r="C57" s="127" t="s">
        <v>32</v>
      </c>
      <c r="D57" s="128">
        <f t="shared" si="4"/>
        <v>233125</v>
      </c>
      <c r="E57" s="27">
        <f>+D57*62.0535</f>
        <v>14466222.1875</v>
      </c>
      <c r="F57" s="13">
        <v>9656</v>
      </c>
      <c r="G57" s="13">
        <v>16702</v>
      </c>
      <c r="H57" s="13">
        <v>20078</v>
      </c>
      <c r="I57" s="13">
        <v>15955</v>
      </c>
      <c r="J57" s="13">
        <v>18739</v>
      </c>
      <c r="K57" s="13">
        <f>714+17768</f>
        <v>18482</v>
      </c>
      <c r="L57" s="13">
        <f>714+17509</f>
        <v>18223</v>
      </c>
      <c r="M57" s="13">
        <v>19468</v>
      </c>
      <c r="N57" s="44">
        <v>18703</v>
      </c>
      <c r="O57" s="13">
        <v>18029</v>
      </c>
      <c r="P57" s="44">
        <v>18869</v>
      </c>
      <c r="Q57" s="44">
        <f>748+18853+20620</f>
        <v>40221</v>
      </c>
      <c r="R57" s="13">
        <f t="shared" si="6"/>
        <v>233125</v>
      </c>
      <c r="T57" s="262"/>
      <c r="U57" s="44">
        <f>748+18853+20620</f>
        <v>40221</v>
      </c>
    </row>
    <row r="58" spans="3:24">
      <c r="C58" s="134" t="s">
        <v>33</v>
      </c>
      <c r="D58" s="128">
        <f t="shared" si="4"/>
        <v>292929</v>
      </c>
      <c r="E58" s="27">
        <f t="shared" ref="E58:E65" si="8">+D58*62.0534</f>
        <v>18177240.408600003</v>
      </c>
      <c r="F58" s="13">
        <v>5055</v>
      </c>
      <c r="G58" s="13">
        <v>9345</v>
      </c>
      <c r="H58" s="13">
        <v>10787</v>
      </c>
      <c r="I58" s="13">
        <v>35905</v>
      </c>
      <c r="J58" s="13">
        <v>9931</v>
      </c>
      <c r="K58" s="13">
        <f>531+39215</f>
        <v>39746</v>
      </c>
      <c r="L58" s="13">
        <f>516+35195</f>
        <v>35711</v>
      </c>
      <c r="M58" s="13">
        <v>37102</v>
      </c>
      <c r="N58" s="44">
        <v>33436</v>
      </c>
      <c r="O58" s="13">
        <v>28204</v>
      </c>
      <c r="P58" s="44">
        <v>36106</v>
      </c>
      <c r="Q58" s="44">
        <f>572+35332+75697-100000</f>
        <v>11601</v>
      </c>
      <c r="R58" s="13">
        <f t="shared" si="6"/>
        <v>292929</v>
      </c>
      <c r="T58" s="262"/>
      <c r="U58" s="44">
        <f>572+35332+75697</f>
        <v>111601</v>
      </c>
    </row>
    <row r="59" spans="3:24">
      <c r="C59" s="127" t="s">
        <v>148</v>
      </c>
      <c r="D59" s="128">
        <f t="shared" si="4"/>
        <v>224652</v>
      </c>
      <c r="E59" s="27">
        <f t="shared" si="8"/>
        <v>13940420.416800002</v>
      </c>
      <c r="F59" s="13">
        <v>7393</v>
      </c>
      <c r="G59" s="13">
        <v>12709</v>
      </c>
      <c r="H59" s="13">
        <v>16494</v>
      </c>
      <c r="I59" s="13">
        <f>14520+500</f>
        <v>15020</v>
      </c>
      <c r="J59" s="13">
        <v>18138</v>
      </c>
      <c r="K59" s="13">
        <f>420+420+17500</f>
        <v>18340</v>
      </c>
      <c r="L59" s="13">
        <f>120+420+17538</f>
        <v>18078</v>
      </c>
      <c r="M59" s="13">
        <v>19756</v>
      </c>
      <c r="N59" s="44">
        <v>20430</v>
      </c>
      <c r="O59" s="13">
        <v>20785</v>
      </c>
      <c r="P59" s="44">
        <v>25646</v>
      </c>
      <c r="Q59" s="44">
        <f>540+25053+6270</f>
        <v>31863</v>
      </c>
      <c r="R59" s="13">
        <f t="shared" si="6"/>
        <v>224652</v>
      </c>
      <c r="T59" s="262"/>
      <c r="U59" s="44">
        <f>540+25053+6270</f>
        <v>31863</v>
      </c>
    </row>
    <row r="60" spans="3:24">
      <c r="C60" s="129" t="s">
        <v>39</v>
      </c>
      <c r="D60" s="128">
        <f t="shared" si="4"/>
        <v>247356</v>
      </c>
      <c r="E60" s="27">
        <f t="shared" si="8"/>
        <v>15349280.810400002</v>
      </c>
      <c r="F60" s="13">
        <v>7852</v>
      </c>
      <c r="G60" s="13">
        <v>12491</v>
      </c>
      <c r="H60" s="13">
        <v>15689</v>
      </c>
      <c r="I60" s="13">
        <v>14832</v>
      </c>
      <c r="J60" s="13">
        <v>17660</v>
      </c>
      <c r="K60" s="13">
        <f>420+17585</f>
        <v>18005</v>
      </c>
      <c r="L60" s="13">
        <f>420+19973</f>
        <v>20393</v>
      </c>
      <c r="M60" s="13">
        <v>24074</v>
      </c>
      <c r="N60" s="44">
        <v>26844</v>
      </c>
      <c r="O60" s="13">
        <v>25790</v>
      </c>
      <c r="P60" s="44">
        <v>31496</v>
      </c>
      <c r="Q60" s="44">
        <f>460+29570+52200-50000</f>
        <v>32230</v>
      </c>
      <c r="R60" s="13">
        <f t="shared" si="6"/>
        <v>247356</v>
      </c>
      <c r="T60" s="262"/>
      <c r="U60" s="44">
        <f>460+29570+52200</f>
        <v>82230</v>
      </c>
    </row>
    <row r="61" spans="3:24">
      <c r="C61" s="127" t="s">
        <v>36</v>
      </c>
      <c r="D61" s="128">
        <f t="shared" si="4"/>
        <v>178756</v>
      </c>
      <c r="E61" s="27">
        <f t="shared" si="8"/>
        <v>11092417.570400001</v>
      </c>
      <c r="F61" s="13">
        <v>7635</v>
      </c>
      <c r="G61" s="13">
        <v>11989</v>
      </c>
      <c r="H61" s="13">
        <v>13305</v>
      </c>
      <c r="I61" s="13">
        <v>8773</v>
      </c>
      <c r="J61" s="13">
        <v>18104</v>
      </c>
      <c r="K61" s="13">
        <f>558+7500</f>
        <v>8058</v>
      </c>
      <c r="L61" s="13">
        <f>655+8498</f>
        <v>9153</v>
      </c>
      <c r="M61" s="13">
        <v>12105</v>
      </c>
      <c r="N61" s="44">
        <v>13895</v>
      </c>
      <c r="O61" s="13">
        <v>12468</v>
      </c>
      <c r="P61" s="44">
        <v>18568</v>
      </c>
      <c r="Q61" s="44">
        <f>782+300+11581+32040</f>
        <v>44703</v>
      </c>
      <c r="R61" s="13">
        <f t="shared" si="6"/>
        <v>178756</v>
      </c>
      <c r="T61" s="262"/>
      <c r="U61" s="44">
        <f>782+300+11581+32040</f>
        <v>44703</v>
      </c>
    </row>
    <row r="62" spans="3:24">
      <c r="C62" s="129" t="s">
        <v>74</v>
      </c>
      <c r="D62" s="128">
        <f t="shared" si="4"/>
        <v>206627</v>
      </c>
      <c r="E62" s="27">
        <f t="shared" si="8"/>
        <v>12821907.881800001</v>
      </c>
      <c r="F62" s="13">
        <v>7675</v>
      </c>
      <c r="G62" s="13">
        <v>13918</v>
      </c>
      <c r="H62" s="13">
        <v>14750</v>
      </c>
      <c r="I62" s="13">
        <v>12395</v>
      </c>
      <c r="J62" s="13">
        <v>13765</v>
      </c>
      <c r="K62" s="13">
        <f>184+14020</f>
        <v>14204</v>
      </c>
      <c r="L62" s="13">
        <f>170+16469</f>
        <v>16639</v>
      </c>
      <c r="M62" s="13">
        <v>15620</v>
      </c>
      <c r="N62" s="44">
        <v>20217</v>
      </c>
      <c r="O62" s="13">
        <v>20755</v>
      </c>
      <c r="P62" s="44">
        <v>29021</v>
      </c>
      <c r="Q62" s="44">
        <f>399+27269</f>
        <v>27668</v>
      </c>
      <c r="R62" s="13">
        <f t="shared" si="6"/>
        <v>206627</v>
      </c>
      <c r="T62" s="262"/>
      <c r="U62" s="44">
        <f>399+27269+100404</f>
        <v>128072</v>
      </c>
    </row>
    <row r="63" spans="3:24">
      <c r="C63" s="127" t="s">
        <v>37</v>
      </c>
      <c r="D63" s="128">
        <f t="shared" si="4"/>
        <v>364205</v>
      </c>
      <c r="E63" s="27">
        <f t="shared" si="8"/>
        <v>22600158.547000002</v>
      </c>
      <c r="F63" s="13">
        <v>11719</v>
      </c>
      <c r="G63" s="13">
        <v>21517</v>
      </c>
      <c r="H63" s="13">
        <v>25461</v>
      </c>
      <c r="I63" s="13">
        <v>24727</v>
      </c>
      <c r="J63" s="13">
        <v>22472</v>
      </c>
      <c r="K63" s="13">
        <f>693+24543</f>
        <v>25236</v>
      </c>
      <c r="L63" s="13">
        <f>759+25505</f>
        <v>26264</v>
      </c>
      <c r="M63" s="13">
        <v>28854</v>
      </c>
      <c r="N63" s="44">
        <v>32454</v>
      </c>
      <c r="O63" s="13">
        <v>31071</v>
      </c>
      <c r="P63" s="44">
        <v>40955</v>
      </c>
      <c r="Q63" s="44">
        <f>792+43283+29400</f>
        <v>73475</v>
      </c>
      <c r="R63" s="13">
        <f t="shared" si="6"/>
        <v>364205</v>
      </c>
      <c r="T63" s="262"/>
      <c r="U63" s="44">
        <f>792+43283+29400</f>
        <v>73475</v>
      </c>
      <c r="V63" s="27"/>
    </row>
    <row r="64" spans="3:24">
      <c r="C64" s="129" t="s">
        <v>142</v>
      </c>
      <c r="D64" s="128">
        <f t="shared" si="4"/>
        <v>318051</v>
      </c>
      <c r="E64" s="27">
        <f t="shared" si="8"/>
        <v>19736145.9234</v>
      </c>
      <c r="F64" s="13">
        <v>11639</v>
      </c>
      <c r="G64" s="13">
        <v>18409</v>
      </c>
      <c r="H64" s="13">
        <v>23880</v>
      </c>
      <c r="I64" s="13">
        <v>19506</v>
      </c>
      <c r="J64" s="13">
        <v>22751</v>
      </c>
      <c r="K64" s="13">
        <f>609+20727+1835</f>
        <v>23171</v>
      </c>
      <c r="L64" s="13">
        <f>604+22388+720</f>
        <v>23712</v>
      </c>
      <c r="M64" s="13">
        <v>24002</v>
      </c>
      <c r="N64" s="44">
        <v>25030</v>
      </c>
      <c r="O64" s="13">
        <v>24475</v>
      </c>
      <c r="P64" s="44">
        <v>29621</v>
      </c>
      <c r="Q64" s="44">
        <f>146855-75000</f>
        <v>71855</v>
      </c>
      <c r="R64" s="13">
        <f t="shared" si="6"/>
        <v>318051</v>
      </c>
      <c r="T64" s="262"/>
      <c r="U64" s="44">
        <f>601+33154+113100</f>
        <v>146855</v>
      </c>
      <c r="V64" s="16"/>
      <c r="W64" s="16"/>
      <c r="X64">
        <v>29324</v>
      </c>
    </row>
    <row r="65" spans="2:26">
      <c r="C65" s="127" t="s">
        <v>43</v>
      </c>
      <c r="D65" s="128">
        <f t="shared" si="4"/>
        <v>300910</v>
      </c>
      <c r="E65" s="27">
        <f t="shared" si="8"/>
        <v>18672488.594000001</v>
      </c>
      <c r="F65" s="13">
        <v>9109</v>
      </c>
      <c r="G65" s="13">
        <v>14724</v>
      </c>
      <c r="H65" s="13">
        <v>22426</v>
      </c>
      <c r="I65" s="13">
        <v>26568</v>
      </c>
      <c r="J65" s="13">
        <v>25111</v>
      </c>
      <c r="K65" s="13">
        <f>1040+33164</f>
        <v>34204</v>
      </c>
      <c r="L65" s="13">
        <f>920+29604</f>
        <v>30524</v>
      </c>
      <c r="M65" s="13">
        <v>29931</v>
      </c>
      <c r="N65" s="44">
        <v>29692</v>
      </c>
      <c r="O65" s="13">
        <v>27597</v>
      </c>
      <c r="P65" s="44">
        <v>29978</v>
      </c>
      <c r="Q65" s="44">
        <f>1040+26656+43350-50000</f>
        <v>21046</v>
      </c>
      <c r="R65" s="13">
        <f t="shared" si="6"/>
        <v>300910</v>
      </c>
      <c r="T65" s="262"/>
      <c r="U65" s="44">
        <f>1040+26656+43350</f>
        <v>71046</v>
      </c>
    </row>
    <row r="66" spans="2:26" ht="15.75" customHeight="1">
      <c r="C66" s="134" t="s">
        <v>46</v>
      </c>
      <c r="D66" s="130">
        <f>SUM(D7:D65)</f>
        <v>23526952</v>
      </c>
      <c r="E66" s="27">
        <f>SUM(E7:E65)</f>
        <v>1459929468.1553001</v>
      </c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4"/>
      <c r="Q66" s="14"/>
      <c r="R66" s="13"/>
      <c r="T66" s="14"/>
      <c r="U66" s="14"/>
      <c r="W66" s="27"/>
      <c r="X66" s="25">
        <f>+W66-W67</f>
        <v>0</v>
      </c>
    </row>
    <row r="67" spans="2:26" ht="15.75" thickBot="1">
      <c r="C67" s="135" t="s">
        <v>47</v>
      </c>
      <c r="D67" s="136">
        <f>+D5+D66</f>
        <v>26695684</v>
      </c>
      <c r="F67" s="45">
        <f t="shared" ref="F67:O67" si="9">SUM(F7:F66)</f>
        <v>659664</v>
      </c>
      <c r="G67" s="45">
        <f t="shared" si="9"/>
        <v>1324987</v>
      </c>
      <c r="H67" s="45">
        <f t="shared" si="9"/>
        <v>1688410</v>
      </c>
      <c r="I67" s="45">
        <f t="shared" si="9"/>
        <v>1501945</v>
      </c>
      <c r="J67" s="45">
        <f t="shared" si="9"/>
        <v>1724349</v>
      </c>
      <c r="K67" s="45">
        <f t="shared" si="9"/>
        <v>1764500</v>
      </c>
      <c r="L67" s="45">
        <f t="shared" si="9"/>
        <v>1878639</v>
      </c>
      <c r="M67" s="45">
        <f t="shared" si="9"/>
        <v>1965023</v>
      </c>
      <c r="N67" s="137">
        <f t="shared" si="9"/>
        <v>2293817</v>
      </c>
      <c r="O67" s="137">
        <f t="shared" si="9"/>
        <v>2299767</v>
      </c>
      <c r="P67" s="137">
        <f>SUM(P7:P66)</f>
        <v>2630261</v>
      </c>
      <c r="Q67" s="137">
        <f>SUM(Q7:Q66)</f>
        <v>3795590</v>
      </c>
      <c r="R67" s="45">
        <f>SUM(F67:Q67)</f>
        <v>23526952</v>
      </c>
      <c r="S67" s="27"/>
      <c r="T67" s="137">
        <f>SUM(T7:T66)</f>
        <v>0</v>
      </c>
      <c r="U67" s="137">
        <f>SUM(U7:U66)</f>
        <v>11839610</v>
      </c>
      <c r="V67" s="25"/>
      <c r="W67" s="25"/>
    </row>
    <row r="68" spans="2:26">
      <c r="C68" s="138"/>
      <c r="D68" s="139">
        <f>SUM(D7:D65)</f>
        <v>23526952</v>
      </c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T68" s="47"/>
      <c r="U68" s="47"/>
      <c r="V68" s="25"/>
      <c r="W68" s="25"/>
    </row>
    <row r="69" spans="2:26" ht="15.75" thickBot="1">
      <c r="D69" s="140"/>
      <c r="F69" s="141">
        <f>F5+F67</f>
        <v>827275</v>
      </c>
      <c r="G69" s="141">
        <f>G5+G67</f>
        <v>1529834</v>
      </c>
      <c r="H69" s="141">
        <f>H5+H67</f>
        <v>1931229</v>
      </c>
      <c r="I69" s="141">
        <f>I5+I67</f>
        <v>1786113</v>
      </c>
      <c r="J69" s="141">
        <f>J67+J6</f>
        <v>1958291</v>
      </c>
      <c r="K69" s="141">
        <f>K67+K6</f>
        <v>2001550</v>
      </c>
      <c r="L69" s="142">
        <f t="shared" ref="L69:Q69" si="10">+L6+L67</f>
        <v>2130898</v>
      </c>
      <c r="M69" s="142">
        <f t="shared" si="10"/>
        <v>2223678</v>
      </c>
      <c r="N69" s="141">
        <f t="shared" si="10"/>
        <v>2656525</v>
      </c>
      <c r="O69" s="141">
        <f t="shared" si="10"/>
        <v>2600588</v>
      </c>
      <c r="P69" s="141">
        <f t="shared" si="10"/>
        <v>2901501</v>
      </c>
      <c r="Q69" s="141">
        <f t="shared" si="10"/>
        <v>4148202</v>
      </c>
      <c r="R69" s="15">
        <f>+R6+R67</f>
        <v>26695684</v>
      </c>
      <c r="S69" s="27"/>
      <c r="T69" s="15"/>
      <c r="U69" s="141" t="e">
        <f t="shared" ref="U69" si="11">+U6+U67</f>
        <v>#REF!</v>
      </c>
    </row>
    <row r="70" spans="2:26" ht="17.25" customHeight="1">
      <c r="D70" s="113"/>
      <c r="E70" t="s">
        <v>59</v>
      </c>
      <c r="F70" s="143">
        <f t="shared" ref="F70:J70" si="12">+F71/F69</f>
        <v>74.76578141488622</v>
      </c>
      <c r="G70" s="143">
        <f t="shared" si="12"/>
        <v>55.619525942030307</v>
      </c>
      <c r="H70" s="143">
        <f t="shared" si="12"/>
        <v>53.18843134604959</v>
      </c>
      <c r="I70" s="143">
        <f t="shared" si="12"/>
        <v>51.106591777787855</v>
      </c>
      <c r="J70" s="143">
        <f t="shared" si="12"/>
        <v>49.62163412894202</v>
      </c>
      <c r="K70" s="143">
        <f>+K71/K69</f>
        <v>50.595982113861758</v>
      </c>
      <c r="L70" s="143">
        <f>+L71/L69</f>
        <v>50.650593599505932</v>
      </c>
      <c r="M70" s="143">
        <v>50.18</v>
      </c>
      <c r="N70" s="143">
        <f>+N71/N69</f>
        <v>69.673251710411151</v>
      </c>
      <c r="O70" s="144">
        <f>+O71/O69</f>
        <v>77.933089016791584</v>
      </c>
      <c r="P70" s="113">
        <f>+P71/P69</f>
        <v>78.793414167356829</v>
      </c>
      <c r="Q70" s="223">
        <v>77.459999999999994</v>
      </c>
      <c r="R70" s="223">
        <f>SUM(F70:Q70)</f>
        <v>739.58829521762323</v>
      </c>
      <c r="T70" s="223"/>
      <c r="U70" s="223">
        <v>77.459999999999994</v>
      </c>
      <c r="X70" s="145">
        <v>1641939566.9000001</v>
      </c>
      <c r="Y70" s="146"/>
      <c r="Z70" s="147" t="s">
        <v>150</v>
      </c>
    </row>
    <row r="71" spans="2:26" ht="15.75">
      <c r="D71" s="140"/>
      <c r="F71" s="150">
        <v>61851861.82</v>
      </c>
      <c r="G71" s="22">
        <v>85088641.849999994</v>
      </c>
      <c r="H71" s="150">
        <v>102719041.08</v>
      </c>
      <c r="I71" s="150">
        <v>91282147.959999993</v>
      </c>
      <c r="J71" s="150">
        <v>97173599.519999996</v>
      </c>
      <c r="K71" s="150">
        <v>101270388</v>
      </c>
      <c r="L71" s="150">
        <v>107931248.59999999</v>
      </c>
      <c r="M71" s="151">
        <v>111715221.66</v>
      </c>
      <c r="N71" s="151">
        <v>185088735</v>
      </c>
      <c r="O71" s="151">
        <v>202671856.09999999</v>
      </c>
      <c r="P71" s="151">
        <v>228619170</v>
      </c>
      <c r="Q71" s="151">
        <f>+Q69*Q70</f>
        <v>321319726.91999996</v>
      </c>
      <c r="R71" s="263">
        <f>+F71+G71+H71+I71+J71+K71+L71+M71+N71+O71+P71+Q71</f>
        <v>1696731638.5099998</v>
      </c>
      <c r="T71" s="151"/>
      <c r="U71" s="151" t="e">
        <f>+U69*U70</f>
        <v>#REF!</v>
      </c>
      <c r="X71" s="152">
        <v>937174286.47000003</v>
      </c>
      <c r="Y71" s="153"/>
      <c r="Z71" s="154" t="s">
        <v>151</v>
      </c>
    </row>
    <row r="72" spans="2:26">
      <c r="X72" s="155">
        <f>350000*400</f>
        <v>140000000</v>
      </c>
      <c r="Y72" s="156"/>
      <c r="Z72" s="154" t="s">
        <v>152</v>
      </c>
    </row>
    <row r="73" spans="2:26" ht="15.75" thickBot="1">
      <c r="D73" s="140">
        <v>26195349</v>
      </c>
      <c r="E73" s="222" t="s">
        <v>72</v>
      </c>
      <c r="F73" s="27">
        <f>2111410+9810483.66</f>
        <v>11921893.66</v>
      </c>
      <c r="G73" s="27">
        <f>2679395+8673720.3</f>
        <v>11353115.300000001</v>
      </c>
      <c r="H73" s="27">
        <f>2764260+10198905.48</f>
        <v>12963165.48</v>
      </c>
      <c r="I73" s="27">
        <f>2194210+12383606.81</f>
        <v>14577816.810000001</v>
      </c>
      <c r="J73" s="23">
        <f>2764260+9105794.49</f>
        <v>11870054.49</v>
      </c>
      <c r="K73" s="24">
        <f>2624395+9538743</f>
        <v>12163138</v>
      </c>
      <c r="L73" s="24">
        <f>2712855+10234405.76</f>
        <v>12947260.76</v>
      </c>
      <c r="M73" s="24">
        <f>2647135+10463232.52</f>
        <v>13110367.52</v>
      </c>
      <c r="N73" s="27">
        <f>3259535+21262010</f>
        <v>24521545</v>
      </c>
      <c r="O73" s="24">
        <f>4537270+17326904.56</f>
        <v>21864174.559999999</v>
      </c>
      <c r="P73" s="27">
        <f>4243980+15314832</f>
        <v>19558812</v>
      </c>
      <c r="Q73" s="264">
        <v>27321722.25</v>
      </c>
      <c r="R73" s="23">
        <f>SUM(F73:Q73)</f>
        <v>194173065.83000001</v>
      </c>
      <c r="S73" s="16"/>
      <c r="T73" s="24"/>
      <c r="U73" s="264"/>
      <c r="V73" s="16"/>
      <c r="X73" s="157">
        <f>SUM(X70:X72)</f>
        <v>2719113853.3699999</v>
      </c>
      <c r="Y73" s="158"/>
      <c r="Z73" s="159"/>
    </row>
    <row r="74" spans="2:26">
      <c r="E74" t="s">
        <v>149</v>
      </c>
      <c r="F74" s="27">
        <v>49929968.159999996</v>
      </c>
      <c r="G74" s="27">
        <v>73735526.549999997</v>
      </c>
      <c r="H74" s="27">
        <v>89755875.599999994</v>
      </c>
      <c r="I74" s="160">
        <v>76704331.150000006</v>
      </c>
      <c r="J74" s="27">
        <v>85303545.030000001</v>
      </c>
      <c r="K74" s="248">
        <v>89107250</v>
      </c>
      <c r="L74" s="24">
        <v>94983987.840000004</v>
      </c>
      <c r="M74" s="24">
        <v>98604854.140000001</v>
      </c>
      <c r="N74" s="27">
        <v>160567190</v>
      </c>
      <c r="O74" s="161">
        <v>180807681.53999999</v>
      </c>
      <c r="P74" s="24">
        <v>209060358</v>
      </c>
      <c r="Q74" s="265">
        <f>+Q67*77.46</f>
        <v>294006401.39999998</v>
      </c>
      <c r="R74" s="16"/>
      <c r="W74" s="23"/>
    </row>
    <row r="75" spans="2:26">
      <c r="E75" t="s">
        <v>73</v>
      </c>
      <c r="F75" s="249">
        <f t="shared" ref="F75:P75" si="13">SUM(F73:F74)</f>
        <v>61851861.819999993</v>
      </c>
      <c r="G75" s="250">
        <f t="shared" si="13"/>
        <v>85088641.849999994</v>
      </c>
      <c r="H75" s="250">
        <f t="shared" si="13"/>
        <v>102719041.08</v>
      </c>
      <c r="I75" s="251">
        <f t="shared" si="13"/>
        <v>91282147.960000008</v>
      </c>
      <c r="J75" s="250">
        <f t="shared" si="13"/>
        <v>97173599.519999996</v>
      </c>
      <c r="K75" s="250">
        <f t="shared" si="13"/>
        <v>101270388</v>
      </c>
      <c r="L75" s="252">
        <f t="shared" si="13"/>
        <v>107931248.60000001</v>
      </c>
      <c r="M75" s="252">
        <f t="shared" si="13"/>
        <v>111715221.66</v>
      </c>
      <c r="N75" s="249">
        <f t="shared" si="13"/>
        <v>185088735</v>
      </c>
      <c r="O75" s="252">
        <f t="shared" si="13"/>
        <v>202671856.09999999</v>
      </c>
      <c r="P75" s="250">
        <f t="shared" si="13"/>
        <v>228619170</v>
      </c>
      <c r="Q75" s="266">
        <f>+Q73+Q74</f>
        <v>321328123.64999998</v>
      </c>
      <c r="U75" s="225"/>
      <c r="V75" s="265"/>
      <c r="W75" s="85"/>
      <c r="X75" s="24"/>
    </row>
    <row r="76" spans="2:26">
      <c r="I76" s="164"/>
      <c r="K76" s="27"/>
      <c r="L76" s="24"/>
      <c r="N76" s="23">
        <f>+'[2]RELACION COCIDA 2022'!$N$73</f>
        <v>0</v>
      </c>
      <c r="Q76" s="24"/>
      <c r="U76" s="23"/>
      <c r="V76" s="266"/>
    </row>
    <row r="77" spans="2:26">
      <c r="R77" s="27"/>
    </row>
    <row r="78" spans="2:26">
      <c r="B78" s="42"/>
      <c r="C78" s="272"/>
      <c r="D78" s="272"/>
      <c r="E78" s="42"/>
      <c r="F78" s="42"/>
      <c r="T78" s="16"/>
    </row>
    <row r="79" spans="2:26">
      <c r="B79" s="42"/>
      <c r="C79" s="108" t="s">
        <v>219</v>
      </c>
      <c r="D79" s="273">
        <f>+D5</f>
        <v>3168732</v>
      </c>
      <c r="E79" s="48">
        <f>+R73</f>
        <v>194173065.83000001</v>
      </c>
      <c r="F79" s="42"/>
      <c r="Q79" s="24"/>
    </row>
    <row r="80" spans="2:26">
      <c r="B80" s="42"/>
      <c r="C80" s="115" t="s">
        <v>221</v>
      </c>
      <c r="D80" s="276">
        <f>+D66</f>
        <v>23526952</v>
      </c>
      <c r="E80" s="54">
        <v>1459929468.6600001</v>
      </c>
      <c r="F80" s="277">
        <f>+E80/D80</f>
        <v>62.053489489841269</v>
      </c>
      <c r="G80" s="42"/>
      <c r="Q80" s="27"/>
    </row>
    <row r="81" spans="2:17">
      <c r="B81" s="42"/>
      <c r="C81" s="42" t="s">
        <v>220</v>
      </c>
      <c r="D81" s="273">
        <v>8580448</v>
      </c>
      <c r="E81" s="42">
        <v>1664606912</v>
      </c>
      <c r="F81" s="278">
        <v>62.053400000000003</v>
      </c>
      <c r="G81" s="54"/>
      <c r="H81" s="27"/>
      <c r="Q81" s="27"/>
    </row>
    <row r="82" spans="2:17">
      <c r="B82" s="42"/>
      <c r="C82" s="272"/>
      <c r="D82" s="274">
        <f>SUM(D79:D81)</f>
        <v>35276132</v>
      </c>
      <c r="E82" s="275">
        <f>SUM(E79:E81)</f>
        <v>3318709446.4899998</v>
      </c>
      <c r="F82" s="42"/>
    </row>
    <row r="83" spans="2:17">
      <c r="E83" s="42"/>
      <c r="F83" s="42"/>
    </row>
    <row r="84" spans="2:17">
      <c r="E84" s="42"/>
      <c r="F84" s="42"/>
    </row>
  </sheetData>
  <mergeCells count="2">
    <mergeCell ref="C3:D3"/>
    <mergeCell ref="C4:D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7"/>
  <sheetViews>
    <sheetView tabSelected="1" topLeftCell="L85" workbookViewId="0">
      <selection activeCell="T99" sqref="T99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15.7109375" customWidth="1"/>
    <col min="6" max="6" width="15.5703125" customWidth="1"/>
    <col min="7" max="7" width="16.28515625" customWidth="1"/>
    <col min="8" max="9" width="15.85546875" customWidth="1"/>
    <col min="10" max="10" width="16.140625" customWidth="1"/>
    <col min="11" max="11" width="16.42578125" customWidth="1"/>
    <col min="12" max="12" width="16.5703125" customWidth="1"/>
    <col min="13" max="13" width="15.140625" customWidth="1"/>
    <col min="14" max="14" width="16" customWidth="1"/>
    <col min="15" max="15" width="15.42578125" customWidth="1"/>
    <col min="16" max="16" width="17" customWidth="1"/>
    <col min="17" max="17" width="16.8554687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2:20">
      <c r="E1" s="24"/>
    </row>
    <row r="2" spans="2:20" ht="15.75" thickBot="1">
      <c r="G2" s="27">
        <f>+G94/22</f>
        <v>123560.31818181818</v>
      </c>
      <c r="K2" s="27"/>
      <c r="L2" s="16"/>
      <c r="M2" s="27"/>
      <c r="N2" s="27"/>
      <c r="O2" s="27"/>
      <c r="P2" s="27"/>
      <c r="Q2" s="27"/>
    </row>
    <row r="3" spans="2:20" ht="15.75" thickBot="1">
      <c r="C3" s="310" t="s">
        <v>71</v>
      </c>
      <c r="D3" s="311"/>
    </row>
    <row r="4" spans="2:20" ht="15.75" thickBot="1">
      <c r="C4" s="312" t="s">
        <v>1</v>
      </c>
      <c r="D4" s="313"/>
      <c r="E4" s="116" t="s">
        <v>48</v>
      </c>
      <c r="F4" s="116" t="s">
        <v>49</v>
      </c>
      <c r="G4" s="116" t="s">
        <v>50</v>
      </c>
      <c r="H4" s="116" t="s">
        <v>51</v>
      </c>
      <c r="I4" s="116" t="s">
        <v>52</v>
      </c>
      <c r="J4" s="116" t="s">
        <v>53</v>
      </c>
      <c r="K4" s="116" t="s">
        <v>54</v>
      </c>
      <c r="L4" s="117" t="s">
        <v>55</v>
      </c>
      <c r="M4" s="118" t="s">
        <v>140</v>
      </c>
      <c r="N4" s="118" t="s">
        <v>57</v>
      </c>
      <c r="O4" s="118" t="s">
        <v>66</v>
      </c>
      <c r="P4" s="118" t="s">
        <v>67</v>
      </c>
      <c r="Q4" s="116" t="s">
        <v>58</v>
      </c>
    </row>
    <row r="5" spans="2:20" ht="15.75" thickBot="1">
      <c r="C5" s="119" t="s">
        <v>2</v>
      </c>
      <c r="D5" s="120">
        <f>+Q5</f>
        <v>3726766</v>
      </c>
      <c r="E5" s="121">
        <f>50299+8265+12530+119794</f>
        <v>190888</v>
      </c>
      <c r="F5" s="121">
        <f>135601+49106+6495+11257</f>
        <v>202459</v>
      </c>
      <c r="G5" s="121">
        <f>186470+71881</f>
        <v>258351</v>
      </c>
      <c r="H5" s="121">
        <f>70086+186405</f>
        <v>256491</v>
      </c>
      <c r="I5" s="121">
        <f>178981+74110</f>
        <v>253091</v>
      </c>
      <c r="J5" s="122">
        <f>154406+69190</f>
        <v>223596</v>
      </c>
      <c r="K5" s="122">
        <f>+'[3]BENEFICIARIO PR.TRIMESTRE'!$L$5</f>
        <v>220442</v>
      </c>
      <c r="L5" s="121">
        <f>+'[4]BENEFICIARIO PR.TRIMESTRE'!$M$5</f>
        <v>267717</v>
      </c>
      <c r="M5" s="122">
        <v>260566</v>
      </c>
      <c r="N5" s="122">
        <f>246380+77691</f>
        <v>324071</v>
      </c>
      <c r="O5" s="122">
        <v>324695</v>
      </c>
      <c r="P5" s="122">
        <f>862749+81650</f>
        <v>944399</v>
      </c>
      <c r="Q5" s="13">
        <f>SUM(E5:P5)</f>
        <v>3726766</v>
      </c>
      <c r="S5" s="23"/>
    </row>
    <row r="6" spans="2:20" ht="15.75" thickBot="1">
      <c r="C6" s="123" t="s">
        <v>3</v>
      </c>
      <c r="D6" s="124"/>
      <c r="E6" s="112">
        <f>E5</f>
        <v>190888</v>
      </c>
      <c r="F6" s="125">
        <f>SUM(F5)</f>
        <v>202459</v>
      </c>
      <c r="G6" s="125">
        <f t="shared" ref="G6:P6" si="0">SUM(G5)</f>
        <v>258351</v>
      </c>
      <c r="H6" s="125">
        <f t="shared" si="0"/>
        <v>256491</v>
      </c>
      <c r="I6" s="125">
        <f t="shared" si="0"/>
        <v>253091</v>
      </c>
      <c r="J6" s="125">
        <f t="shared" si="0"/>
        <v>223596</v>
      </c>
      <c r="K6" s="125">
        <f t="shared" si="0"/>
        <v>220442</v>
      </c>
      <c r="L6" s="125">
        <f t="shared" si="0"/>
        <v>267717</v>
      </c>
      <c r="M6" s="125">
        <f t="shared" si="0"/>
        <v>260566</v>
      </c>
      <c r="N6" s="125">
        <f t="shared" si="0"/>
        <v>324071</v>
      </c>
      <c r="O6" s="125">
        <f t="shared" si="0"/>
        <v>324695</v>
      </c>
      <c r="P6" s="125">
        <f t="shared" si="0"/>
        <v>944399</v>
      </c>
      <c r="Q6" s="45">
        <f>SUM(E6:P6)</f>
        <v>3726766</v>
      </c>
      <c r="S6" s="23">
        <f t="shared" ref="S6" si="1">+Q6*R6</f>
        <v>0</v>
      </c>
      <c r="T6">
        <f>+T98</f>
        <v>1335921780.3800001</v>
      </c>
    </row>
    <row r="7" spans="2:20">
      <c r="B7">
        <v>1</v>
      </c>
      <c r="C7" s="127" t="s">
        <v>4</v>
      </c>
      <c r="D7" s="128">
        <f>+Q7</f>
        <v>5829518</v>
      </c>
      <c r="E7" s="13">
        <f>253120+2200+80683</f>
        <v>336003</v>
      </c>
      <c r="F7" s="13">
        <f>231610+1660+127010</f>
        <v>360280</v>
      </c>
      <c r="G7" s="13">
        <v>399486</v>
      </c>
      <c r="H7" s="13">
        <v>362183</v>
      </c>
      <c r="I7" s="13">
        <v>420412</v>
      </c>
      <c r="J7" s="13">
        <v>367460</v>
      </c>
      <c r="K7" s="13">
        <v>396119</v>
      </c>
      <c r="L7" s="13">
        <v>403333</v>
      </c>
      <c r="M7" s="13">
        <v>388981</v>
      </c>
      <c r="N7" s="13">
        <v>370142</v>
      </c>
      <c r="O7" s="13">
        <v>368916</v>
      </c>
      <c r="P7" s="13">
        <v>1656203</v>
      </c>
      <c r="Q7" s="13">
        <f>SUM(E7:P7)</f>
        <v>5829518</v>
      </c>
      <c r="R7" s="113"/>
      <c r="S7" s="23">
        <f>+Q7*R7</f>
        <v>0</v>
      </c>
      <c r="T7" s="16">
        <f>SUM(E7:Q7)</f>
        <v>11659036</v>
      </c>
    </row>
    <row r="8" spans="2:20">
      <c r="B8">
        <v>2</v>
      </c>
      <c r="C8" s="129" t="s">
        <v>5</v>
      </c>
      <c r="D8" s="130">
        <f t="shared" ref="D8:D90" si="2">+Q8</f>
        <v>1953139</v>
      </c>
      <c r="E8" s="13">
        <f>5959+2115+22860</f>
        <v>30934</v>
      </c>
      <c r="F8" s="13">
        <f>5800+2405+42207</f>
        <v>50412</v>
      </c>
      <c r="G8" s="13">
        <v>77156</v>
      </c>
      <c r="H8" s="13">
        <v>46660</v>
      </c>
      <c r="I8" s="13">
        <v>88560</v>
      </c>
      <c r="J8" s="44">
        <v>62879</v>
      </c>
      <c r="K8" s="44">
        <v>81161</v>
      </c>
      <c r="L8" s="13">
        <v>64467</v>
      </c>
      <c r="M8" s="13">
        <v>67639</v>
      </c>
      <c r="N8" s="13">
        <v>69597</v>
      </c>
      <c r="O8" s="13">
        <v>69202</v>
      </c>
      <c r="P8" s="13">
        <v>1244472</v>
      </c>
      <c r="Q8" s="13">
        <f t="shared" ref="Q8:Q71" si="3">SUM(E8:P8)</f>
        <v>1953139</v>
      </c>
      <c r="R8" s="113"/>
      <c r="S8" s="23">
        <f t="shared" ref="S8:S72" si="4">+Q8*R8</f>
        <v>0</v>
      </c>
    </row>
    <row r="9" spans="2:20" s="115" customFormat="1">
      <c r="B9">
        <v>3</v>
      </c>
      <c r="C9" s="132" t="s">
        <v>6</v>
      </c>
      <c r="D9" s="128">
        <f t="shared" si="2"/>
        <v>2014126</v>
      </c>
      <c r="E9" s="279">
        <f>7510+50489</f>
        <v>57999</v>
      </c>
      <c r="F9" s="279">
        <f>9570+68416</f>
        <v>77986</v>
      </c>
      <c r="G9" s="279">
        <v>90146</v>
      </c>
      <c r="H9" s="279">
        <v>81624</v>
      </c>
      <c r="I9" s="279">
        <v>125513</v>
      </c>
      <c r="J9" s="280">
        <v>110116</v>
      </c>
      <c r="K9" s="280">
        <v>98387</v>
      </c>
      <c r="L9" s="279">
        <v>103006</v>
      </c>
      <c r="M9" s="13">
        <v>87106</v>
      </c>
      <c r="N9" s="13">
        <v>95241</v>
      </c>
      <c r="O9" s="13">
        <v>91274</v>
      </c>
      <c r="P9" s="13">
        <v>995728</v>
      </c>
      <c r="Q9" s="13">
        <f t="shared" si="3"/>
        <v>2014126</v>
      </c>
      <c r="R9" s="113"/>
      <c r="S9" s="23">
        <f t="shared" si="4"/>
        <v>0</v>
      </c>
    </row>
    <row r="10" spans="2:20">
      <c r="B10">
        <v>4</v>
      </c>
      <c r="C10" s="129" t="s">
        <v>7</v>
      </c>
      <c r="D10" s="130">
        <f t="shared" si="2"/>
        <v>1397726</v>
      </c>
      <c r="E10" s="13">
        <f>3829+37646</f>
        <v>41475</v>
      </c>
      <c r="F10" s="13">
        <f>4440+60562</f>
        <v>65002</v>
      </c>
      <c r="G10" s="13">
        <v>79507</v>
      </c>
      <c r="H10" s="13">
        <v>59005</v>
      </c>
      <c r="I10" s="13">
        <v>99521</v>
      </c>
      <c r="J10" s="44">
        <v>72537</v>
      </c>
      <c r="K10" s="44">
        <v>76069</v>
      </c>
      <c r="L10" s="13">
        <v>80402</v>
      </c>
      <c r="M10" s="13">
        <v>63217</v>
      </c>
      <c r="N10" s="13">
        <v>61302</v>
      </c>
      <c r="O10" s="13">
        <v>69800</v>
      </c>
      <c r="P10" s="13">
        <v>629889</v>
      </c>
      <c r="Q10" s="13">
        <f t="shared" si="3"/>
        <v>1397726</v>
      </c>
      <c r="R10" s="113"/>
      <c r="S10" s="23">
        <f t="shared" si="4"/>
        <v>0</v>
      </c>
    </row>
    <row r="11" spans="2:20" s="115" customFormat="1">
      <c r="B11">
        <v>5</v>
      </c>
      <c r="C11" s="132" t="s">
        <v>8</v>
      </c>
      <c r="D11" s="128">
        <f t="shared" si="2"/>
        <v>1377992</v>
      </c>
      <c r="E11" s="279">
        <f>459+45419</f>
        <v>45878</v>
      </c>
      <c r="F11" s="279">
        <f>598+71779</f>
        <v>72377</v>
      </c>
      <c r="G11" s="279">
        <v>88995</v>
      </c>
      <c r="H11" s="279">
        <v>64420</v>
      </c>
      <c r="I11" s="279">
        <v>94801</v>
      </c>
      <c r="J11" s="280">
        <v>75268</v>
      </c>
      <c r="K11" s="280">
        <v>77490</v>
      </c>
      <c r="L11" s="279">
        <v>75038</v>
      </c>
      <c r="M11" s="13">
        <v>72576</v>
      </c>
      <c r="N11" s="13">
        <v>80095</v>
      </c>
      <c r="O11" s="13">
        <v>73007</v>
      </c>
      <c r="P11" s="13">
        <v>558047</v>
      </c>
      <c r="Q11" s="13">
        <f t="shared" si="3"/>
        <v>1377992</v>
      </c>
      <c r="R11" s="113"/>
      <c r="S11" s="23">
        <f t="shared" si="4"/>
        <v>0</v>
      </c>
    </row>
    <row r="12" spans="2:20">
      <c r="B12">
        <v>6</v>
      </c>
      <c r="C12" s="129" t="s">
        <v>9</v>
      </c>
      <c r="D12" s="130">
        <f t="shared" si="2"/>
        <v>1707303</v>
      </c>
      <c r="E12" s="13">
        <f>450+643+51175</f>
        <v>52268</v>
      </c>
      <c r="F12" s="13">
        <f>2410+807+74681</f>
        <v>77898</v>
      </c>
      <c r="G12" s="13">
        <v>94725</v>
      </c>
      <c r="H12" s="13">
        <v>75367</v>
      </c>
      <c r="I12" s="13">
        <v>98283</v>
      </c>
      <c r="J12" s="44">
        <v>92967</v>
      </c>
      <c r="K12" s="44">
        <v>100356</v>
      </c>
      <c r="L12" s="13">
        <v>101197</v>
      </c>
      <c r="M12" s="13">
        <v>89907</v>
      </c>
      <c r="N12" s="13">
        <v>96866</v>
      </c>
      <c r="O12" s="13">
        <v>116904</v>
      </c>
      <c r="P12" s="13">
        <v>710565</v>
      </c>
      <c r="Q12" s="13">
        <f t="shared" si="3"/>
        <v>1707303</v>
      </c>
      <c r="R12" s="113"/>
      <c r="S12" s="23">
        <f t="shared" si="4"/>
        <v>0</v>
      </c>
    </row>
    <row r="13" spans="2:20" s="115" customFormat="1">
      <c r="B13">
        <v>7</v>
      </c>
      <c r="C13" s="132" t="s">
        <v>185</v>
      </c>
      <c r="D13" s="128">
        <f>+Q13</f>
        <v>73712</v>
      </c>
      <c r="E13" s="279"/>
      <c r="F13" s="279"/>
      <c r="G13" s="279"/>
      <c r="H13" s="279"/>
      <c r="I13" s="279"/>
      <c r="J13" s="280"/>
      <c r="K13" s="280">
        <v>6724</v>
      </c>
      <c r="L13" s="279">
        <v>10090</v>
      </c>
      <c r="M13" s="13">
        <v>13280</v>
      </c>
      <c r="N13" s="13">
        <v>15327</v>
      </c>
      <c r="O13" s="13">
        <v>14520</v>
      </c>
      <c r="P13" s="13">
        <v>13771</v>
      </c>
      <c r="Q13" s="13">
        <f t="shared" si="3"/>
        <v>73712</v>
      </c>
      <c r="R13" s="113"/>
      <c r="S13" s="23">
        <f t="shared" si="4"/>
        <v>0</v>
      </c>
    </row>
    <row r="14" spans="2:20">
      <c r="B14">
        <v>8</v>
      </c>
      <c r="C14" s="129" t="s">
        <v>10</v>
      </c>
      <c r="D14" s="130">
        <f t="shared" si="2"/>
        <v>1177832</v>
      </c>
      <c r="E14" s="13">
        <f>806+37863+3000</f>
        <v>41669</v>
      </c>
      <c r="F14" s="13">
        <f>1018+57095</f>
        <v>58113</v>
      </c>
      <c r="G14" s="13">
        <v>68840</v>
      </c>
      <c r="H14" s="13">
        <v>50660</v>
      </c>
      <c r="I14" s="13">
        <v>63619</v>
      </c>
      <c r="J14" s="44">
        <v>54000</v>
      </c>
      <c r="K14" s="44">
        <v>60236</v>
      </c>
      <c r="L14" s="13">
        <v>55107</v>
      </c>
      <c r="M14" s="13">
        <v>54521</v>
      </c>
      <c r="N14" s="13">
        <v>59576</v>
      </c>
      <c r="O14" s="13">
        <v>61860</v>
      </c>
      <c r="P14" s="13">
        <v>549631</v>
      </c>
      <c r="Q14" s="13">
        <f t="shared" si="3"/>
        <v>1177832</v>
      </c>
      <c r="R14" s="113"/>
      <c r="S14" s="23">
        <f t="shared" si="4"/>
        <v>0</v>
      </c>
    </row>
    <row r="15" spans="2:20">
      <c r="B15">
        <v>9</v>
      </c>
      <c r="C15" s="132" t="s">
        <v>11</v>
      </c>
      <c r="D15" s="128">
        <f t="shared" si="2"/>
        <v>1073937</v>
      </c>
      <c r="E15" s="13">
        <f>2970+641+27219</f>
        <v>30830</v>
      </c>
      <c r="F15" s="13">
        <f>3696+902+46104</f>
        <v>50702</v>
      </c>
      <c r="G15" s="13">
        <v>61578</v>
      </c>
      <c r="H15" s="13">
        <v>43986</v>
      </c>
      <c r="I15" s="13">
        <v>59108</v>
      </c>
      <c r="J15" s="44">
        <v>55395</v>
      </c>
      <c r="K15" s="44">
        <v>61484</v>
      </c>
      <c r="L15" s="13">
        <v>60912</v>
      </c>
      <c r="M15" s="13">
        <v>43706</v>
      </c>
      <c r="N15" s="13">
        <v>54325</v>
      </c>
      <c r="O15" s="13">
        <v>66420</v>
      </c>
      <c r="P15" s="13">
        <v>485491</v>
      </c>
      <c r="Q15" s="13">
        <f t="shared" si="3"/>
        <v>1073937</v>
      </c>
      <c r="R15" s="113"/>
      <c r="S15" s="23">
        <f t="shared" si="4"/>
        <v>0</v>
      </c>
    </row>
    <row r="16" spans="2:20">
      <c r="B16">
        <v>10</v>
      </c>
      <c r="C16" s="129" t="s">
        <v>159</v>
      </c>
      <c r="D16" s="130">
        <f>+Q16</f>
        <v>322394</v>
      </c>
      <c r="E16" s="13"/>
      <c r="F16" s="13">
        <f>10+1115</f>
        <v>1125</v>
      </c>
      <c r="G16" s="13">
        <v>32951</v>
      </c>
      <c r="H16" s="13">
        <v>19935</v>
      </c>
      <c r="I16" s="13">
        <v>22240</v>
      </c>
      <c r="J16" s="131">
        <v>20827</v>
      </c>
      <c r="K16" s="131">
        <v>20800</v>
      </c>
      <c r="L16" s="14">
        <v>25480</v>
      </c>
      <c r="M16" s="13">
        <v>25000</v>
      </c>
      <c r="N16" s="13">
        <v>33450</v>
      </c>
      <c r="O16" s="13">
        <v>46278</v>
      </c>
      <c r="P16" s="13">
        <v>74308</v>
      </c>
      <c r="Q16" s="13">
        <f t="shared" si="3"/>
        <v>322394</v>
      </c>
      <c r="R16" s="113"/>
      <c r="S16" s="23">
        <f t="shared" si="4"/>
        <v>0</v>
      </c>
    </row>
    <row r="17" spans="2:19" s="115" customFormat="1">
      <c r="B17">
        <v>11</v>
      </c>
      <c r="C17" s="132" t="s">
        <v>75</v>
      </c>
      <c r="D17" s="128">
        <f t="shared" si="2"/>
        <v>298930</v>
      </c>
      <c r="E17" s="279">
        <f>209+11552+380+3379</f>
        <v>15520</v>
      </c>
      <c r="F17" s="279">
        <f>223+15056+486+4613</f>
        <v>20378</v>
      </c>
      <c r="G17" s="279">
        <v>24826</v>
      </c>
      <c r="H17" s="279">
        <v>21350</v>
      </c>
      <c r="I17" s="279">
        <v>25653</v>
      </c>
      <c r="J17" s="280">
        <v>25252</v>
      </c>
      <c r="K17" s="280">
        <v>26194</v>
      </c>
      <c r="L17" s="279">
        <v>20092</v>
      </c>
      <c r="M17" s="13">
        <v>21211</v>
      </c>
      <c r="N17" s="13">
        <v>23980</v>
      </c>
      <c r="O17" s="13">
        <v>23471</v>
      </c>
      <c r="P17" s="13">
        <v>51003</v>
      </c>
      <c r="Q17" s="13">
        <f t="shared" si="3"/>
        <v>298930</v>
      </c>
      <c r="R17" s="113"/>
      <c r="S17" s="23">
        <f t="shared" si="4"/>
        <v>0</v>
      </c>
    </row>
    <row r="18" spans="2:19">
      <c r="B18">
        <v>12</v>
      </c>
      <c r="C18" s="129" t="s">
        <v>156</v>
      </c>
      <c r="D18" s="130">
        <f t="shared" si="2"/>
        <v>934356</v>
      </c>
      <c r="E18" s="13"/>
      <c r="F18" s="13">
        <f>6770+86772+25621</f>
        <v>119163</v>
      </c>
      <c r="G18" s="13">
        <v>167444</v>
      </c>
      <c r="H18" s="13">
        <v>104864</v>
      </c>
      <c r="I18" s="13">
        <v>12419</v>
      </c>
      <c r="J18" s="44">
        <v>25268</v>
      </c>
      <c r="K18" s="44">
        <v>37561</v>
      </c>
      <c r="L18" s="13">
        <v>0</v>
      </c>
      <c r="M18" s="13">
        <v>95241</v>
      </c>
      <c r="N18" s="13">
        <v>207054</v>
      </c>
      <c r="O18" s="13">
        <v>157165</v>
      </c>
      <c r="P18" s="13">
        <v>8177</v>
      </c>
      <c r="Q18" s="13">
        <f t="shared" si="3"/>
        <v>934356</v>
      </c>
      <c r="R18" s="113"/>
      <c r="S18" s="23">
        <f t="shared" si="4"/>
        <v>0</v>
      </c>
    </row>
    <row r="19" spans="2:19">
      <c r="B19">
        <v>13</v>
      </c>
      <c r="C19" s="132" t="s">
        <v>180</v>
      </c>
      <c r="D19" s="128">
        <f t="shared" si="2"/>
        <v>95831</v>
      </c>
      <c r="E19" s="13"/>
      <c r="F19" s="13"/>
      <c r="G19" s="13"/>
      <c r="H19" s="13"/>
      <c r="I19" s="13">
        <v>11090</v>
      </c>
      <c r="J19" s="44">
        <v>12969</v>
      </c>
      <c r="K19" s="44">
        <v>15907</v>
      </c>
      <c r="L19" s="13">
        <v>14188</v>
      </c>
      <c r="M19" s="13">
        <v>12476</v>
      </c>
      <c r="N19" s="13">
        <v>7346</v>
      </c>
      <c r="O19" s="13">
        <v>10531</v>
      </c>
      <c r="P19" s="13">
        <v>11324</v>
      </c>
      <c r="Q19" s="13">
        <f t="shared" si="3"/>
        <v>95831</v>
      </c>
      <c r="R19" s="113"/>
      <c r="S19" s="23">
        <f t="shared" si="4"/>
        <v>0</v>
      </c>
    </row>
    <row r="20" spans="2:19">
      <c r="B20">
        <v>14</v>
      </c>
      <c r="C20" s="129" t="s">
        <v>181</v>
      </c>
      <c r="D20" s="130">
        <f t="shared" si="2"/>
        <v>268985</v>
      </c>
      <c r="E20" s="13"/>
      <c r="F20" s="13"/>
      <c r="G20" s="13"/>
      <c r="H20" s="13"/>
      <c r="I20" s="13">
        <v>4462</v>
      </c>
      <c r="J20" s="44">
        <v>22412</v>
      </c>
      <c r="K20" s="44">
        <v>26636</v>
      </c>
      <c r="L20" s="13">
        <v>27687</v>
      </c>
      <c r="M20" s="13">
        <v>21063</v>
      </c>
      <c r="N20" s="13">
        <v>25794</v>
      </c>
      <c r="O20" s="13">
        <v>31081</v>
      </c>
      <c r="P20" s="13">
        <v>109850</v>
      </c>
      <c r="Q20" s="13">
        <f t="shared" si="3"/>
        <v>268985</v>
      </c>
      <c r="R20" s="113"/>
      <c r="S20" s="23">
        <f t="shared" si="4"/>
        <v>0</v>
      </c>
    </row>
    <row r="21" spans="2:19">
      <c r="B21">
        <v>15</v>
      </c>
      <c r="C21" s="132" t="s">
        <v>14</v>
      </c>
      <c r="D21" s="128">
        <f t="shared" si="2"/>
        <v>237192</v>
      </c>
      <c r="E21" s="13">
        <f>448+8715</f>
        <v>9163</v>
      </c>
      <c r="F21" s="13">
        <f>560+16225</f>
        <v>16785</v>
      </c>
      <c r="G21" s="13">
        <v>19110</v>
      </c>
      <c r="H21" s="13">
        <v>15509</v>
      </c>
      <c r="I21" s="13">
        <v>22194</v>
      </c>
      <c r="J21" s="44">
        <v>17794</v>
      </c>
      <c r="K21" s="44">
        <v>18728</v>
      </c>
      <c r="L21" s="13">
        <v>19321</v>
      </c>
      <c r="M21" s="13">
        <v>17546</v>
      </c>
      <c r="N21" s="13">
        <v>19261</v>
      </c>
      <c r="O21" s="13">
        <v>19958</v>
      </c>
      <c r="P21" s="13">
        <v>41823</v>
      </c>
      <c r="Q21" s="13">
        <f t="shared" si="3"/>
        <v>237192</v>
      </c>
      <c r="R21" s="113"/>
      <c r="S21" s="23">
        <f t="shared" si="4"/>
        <v>0</v>
      </c>
    </row>
    <row r="22" spans="2:19">
      <c r="B22">
        <v>16</v>
      </c>
      <c r="C22" s="129" t="s">
        <v>12</v>
      </c>
      <c r="D22" s="130">
        <f>+Q22</f>
        <v>253902</v>
      </c>
      <c r="E22" s="13">
        <f>330+12194</f>
        <v>12524</v>
      </c>
      <c r="F22" s="13">
        <f>418+15942</f>
        <v>16360</v>
      </c>
      <c r="G22" s="13">
        <v>21327</v>
      </c>
      <c r="H22" s="13">
        <v>17162</v>
      </c>
      <c r="I22" s="13">
        <v>20423</v>
      </c>
      <c r="J22" s="44">
        <v>18381</v>
      </c>
      <c r="K22" s="44">
        <v>21249</v>
      </c>
      <c r="L22" s="13">
        <v>22976</v>
      </c>
      <c r="M22" s="13">
        <v>19664</v>
      </c>
      <c r="N22" s="13">
        <v>20906</v>
      </c>
      <c r="O22" s="13">
        <v>20820</v>
      </c>
      <c r="P22" s="13">
        <v>42110</v>
      </c>
      <c r="Q22" s="13">
        <f t="shared" si="3"/>
        <v>253902</v>
      </c>
      <c r="R22" s="113"/>
      <c r="S22" s="23">
        <f t="shared" si="4"/>
        <v>0</v>
      </c>
    </row>
    <row r="23" spans="2:19">
      <c r="B23">
        <v>17</v>
      </c>
      <c r="C23" s="129" t="s">
        <v>230</v>
      </c>
      <c r="D23" s="130">
        <f>+Q23</f>
        <v>68489</v>
      </c>
      <c r="E23" s="13"/>
      <c r="F23" s="13"/>
      <c r="G23" s="13"/>
      <c r="H23" s="13"/>
      <c r="I23" s="13"/>
      <c r="J23" s="44"/>
      <c r="K23" s="44"/>
      <c r="L23" s="13"/>
      <c r="M23" s="13"/>
      <c r="N23" s="13">
        <v>8670</v>
      </c>
      <c r="O23" s="13">
        <v>10550</v>
      </c>
      <c r="P23" s="13">
        <v>49269</v>
      </c>
      <c r="Q23" s="13">
        <f t="shared" si="3"/>
        <v>68489</v>
      </c>
      <c r="R23" s="113"/>
      <c r="S23" s="23">
        <f t="shared" si="4"/>
        <v>0</v>
      </c>
    </row>
    <row r="24" spans="2:19" s="115" customFormat="1">
      <c r="B24">
        <v>18</v>
      </c>
      <c r="C24" s="132" t="s">
        <v>13</v>
      </c>
      <c r="D24" s="128">
        <f t="shared" si="2"/>
        <v>254576</v>
      </c>
      <c r="E24" s="279">
        <f>249+13251</f>
        <v>13500</v>
      </c>
      <c r="F24" s="279">
        <f>319+18324</f>
        <v>18643</v>
      </c>
      <c r="G24" s="279">
        <v>21804</v>
      </c>
      <c r="H24" s="279">
        <v>16032</v>
      </c>
      <c r="I24" s="279">
        <v>21478</v>
      </c>
      <c r="J24" s="280">
        <v>19893</v>
      </c>
      <c r="K24" s="280">
        <v>20188</v>
      </c>
      <c r="L24" s="279">
        <v>19857</v>
      </c>
      <c r="M24" s="13">
        <v>21881</v>
      </c>
      <c r="N24" s="13">
        <v>32574</v>
      </c>
      <c r="O24" s="13">
        <v>21236</v>
      </c>
      <c r="P24" s="13">
        <v>27490</v>
      </c>
      <c r="Q24" s="13">
        <f t="shared" si="3"/>
        <v>254576</v>
      </c>
      <c r="R24" s="113"/>
      <c r="S24" s="23">
        <f t="shared" si="4"/>
        <v>0</v>
      </c>
    </row>
    <row r="25" spans="2:19">
      <c r="B25">
        <v>19</v>
      </c>
      <c r="C25" s="129" t="s">
        <v>15</v>
      </c>
      <c r="D25" s="130">
        <f t="shared" si="2"/>
        <v>320484</v>
      </c>
      <c r="E25" s="13">
        <f>259+6110</f>
        <v>6369</v>
      </c>
      <c r="F25" s="13">
        <f>298+11395</f>
        <v>11693</v>
      </c>
      <c r="G25" s="13">
        <v>12889</v>
      </c>
      <c r="H25" s="13">
        <v>11141</v>
      </c>
      <c r="I25" s="13">
        <v>11610</v>
      </c>
      <c r="J25" s="44">
        <v>9450</v>
      </c>
      <c r="K25" s="44">
        <v>11073</v>
      </c>
      <c r="L25" s="13">
        <v>15697</v>
      </c>
      <c r="M25" s="13">
        <v>13823</v>
      </c>
      <c r="N25" s="13">
        <v>10884</v>
      </c>
      <c r="O25" s="13">
        <v>14008</v>
      </c>
      <c r="P25" s="13">
        <v>191847</v>
      </c>
      <c r="Q25" s="13">
        <f t="shared" si="3"/>
        <v>320484</v>
      </c>
      <c r="R25" s="113"/>
      <c r="S25" s="23">
        <f t="shared" si="4"/>
        <v>0</v>
      </c>
    </row>
    <row r="26" spans="2:19">
      <c r="B26">
        <v>20</v>
      </c>
      <c r="C26" s="132" t="s">
        <v>18</v>
      </c>
      <c r="D26" s="128">
        <f t="shared" si="2"/>
        <v>328787</v>
      </c>
      <c r="E26" s="13">
        <f>212+8861+50</f>
        <v>9123</v>
      </c>
      <c r="F26" s="13">
        <f>252+12429</f>
        <v>12681</v>
      </c>
      <c r="G26" s="13">
        <v>18392</v>
      </c>
      <c r="H26" s="13">
        <v>16945</v>
      </c>
      <c r="I26" s="13">
        <v>21278</v>
      </c>
      <c r="J26" s="44">
        <v>19703</v>
      </c>
      <c r="K26" s="44">
        <v>18982</v>
      </c>
      <c r="L26" s="13">
        <v>24052</v>
      </c>
      <c r="M26" s="13">
        <v>22407</v>
      </c>
      <c r="N26" s="13">
        <v>22149</v>
      </c>
      <c r="O26" s="13">
        <v>27757</v>
      </c>
      <c r="P26" s="13">
        <v>115318</v>
      </c>
      <c r="Q26" s="13">
        <f t="shared" si="3"/>
        <v>328787</v>
      </c>
      <c r="R26" s="113"/>
      <c r="S26" s="23">
        <f t="shared" si="4"/>
        <v>0</v>
      </c>
    </row>
    <row r="27" spans="2:19">
      <c r="B27">
        <v>21</v>
      </c>
      <c r="C27" s="129" t="s">
        <v>70</v>
      </c>
      <c r="D27" s="130">
        <f t="shared" si="2"/>
        <v>526347</v>
      </c>
      <c r="E27" s="13">
        <f>180+23767</f>
        <v>23947</v>
      </c>
      <c r="F27" s="13">
        <f>228+33272</f>
        <v>33500</v>
      </c>
      <c r="G27" s="13">
        <v>38867</v>
      </c>
      <c r="H27" s="13">
        <v>29384</v>
      </c>
      <c r="I27" s="13">
        <v>34076</v>
      </c>
      <c r="J27" s="44">
        <v>35314</v>
      </c>
      <c r="K27" s="44">
        <v>35009</v>
      </c>
      <c r="L27" s="13">
        <v>38673</v>
      </c>
      <c r="M27" s="13">
        <v>36435</v>
      </c>
      <c r="N27" s="13">
        <v>38715</v>
      </c>
      <c r="O27" s="13">
        <v>46299</v>
      </c>
      <c r="P27" s="13">
        <v>136128</v>
      </c>
      <c r="Q27" s="13">
        <f t="shared" si="3"/>
        <v>526347</v>
      </c>
      <c r="R27" s="113"/>
      <c r="S27" s="23">
        <f t="shared" si="4"/>
        <v>0</v>
      </c>
    </row>
    <row r="28" spans="2:19">
      <c r="B28">
        <v>22</v>
      </c>
      <c r="C28" s="132" t="s">
        <v>141</v>
      </c>
      <c r="D28" s="128">
        <f t="shared" si="2"/>
        <v>0</v>
      </c>
      <c r="E28" s="13"/>
      <c r="F28" s="13"/>
      <c r="G28" s="13"/>
      <c r="H28" s="13"/>
      <c r="I28" s="13"/>
      <c r="J28" s="44"/>
      <c r="K28" s="44"/>
      <c r="L28" s="44">
        <v>0</v>
      </c>
      <c r="M28" s="13"/>
      <c r="N28" s="13"/>
      <c r="O28" s="13"/>
      <c r="P28" s="13"/>
      <c r="Q28" s="13">
        <f t="shared" si="3"/>
        <v>0</v>
      </c>
      <c r="R28" s="113"/>
      <c r="S28" s="23">
        <f t="shared" si="4"/>
        <v>0</v>
      </c>
    </row>
    <row r="29" spans="2:19">
      <c r="B29">
        <v>23</v>
      </c>
      <c r="C29" s="129" t="s">
        <v>16</v>
      </c>
      <c r="D29" s="130">
        <f t="shared" si="2"/>
        <v>344760</v>
      </c>
      <c r="E29" s="13">
        <f>220+14392</f>
        <v>14612</v>
      </c>
      <c r="F29" s="13">
        <f>256+19444</f>
        <v>19700</v>
      </c>
      <c r="G29" s="13">
        <v>25543</v>
      </c>
      <c r="H29" s="13">
        <v>22012</v>
      </c>
      <c r="I29" s="13">
        <v>22063</v>
      </c>
      <c r="J29" s="44">
        <v>19345</v>
      </c>
      <c r="K29" s="44">
        <v>20551</v>
      </c>
      <c r="L29" s="13">
        <v>23731</v>
      </c>
      <c r="M29" s="13">
        <v>23719</v>
      </c>
      <c r="N29" s="13">
        <v>25203</v>
      </c>
      <c r="O29" s="13">
        <v>26044</v>
      </c>
      <c r="P29" s="13">
        <v>102237</v>
      </c>
      <c r="Q29" s="13">
        <f t="shared" si="3"/>
        <v>344760</v>
      </c>
      <c r="R29" s="113"/>
      <c r="S29" s="23">
        <f t="shared" si="4"/>
        <v>0</v>
      </c>
    </row>
    <row r="30" spans="2:19" s="115" customFormat="1">
      <c r="B30">
        <v>24</v>
      </c>
      <c r="C30" s="132" t="s">
        <v>17</v>
      </c>
      <c r="D30" s="128">
        <f t="shared" si="2"/>
        <v>424023</v>
      </c>
      <c r="E30" s="279">
        <f>490+14849+500</f>
        <v>15839</v>
      </c>
      <c r="F30" s="279">
        <f>580+23004</f>
        <v>23584</v>
      </c>
      <c r="G30" s="279">
        <v>26852</v>
      </c>
      <c r="H30" s="279">
        <v>23252</v>
      </c>
      <c r="I30" s="279">
        <v>28318</v>
      </c>
      <c r="J30" s="280">
        <v>27201</v>
      </c>
      <c r="K30" s="280">
        <v>29099</v>
      </c>
      <c r="L30" s="279">
        <v>31213</v>
      </c>
      <c r="M30" s="13">
        <v>26289</v>
      </c>
      <c r="N30" s="13">
        <v>29662</v>
      </c>
      <c r="O30" s="13">
        <v>31785</v>
      </c>
      <c r="P30" s="13">
        <v>130929</v>
      </c>
      <c r="Q30" s="13">
        <f t="shared" si="3"/>
        <v>424023</v>
      </c>
      <c r="R30" s="113"/>
      <c r="S30" s="23">
        <f t="shared" si="4"/>
        <v>0</v>
      </c>
    </row>
    <row r="31" spans="2:19">
      <c r="B31">
        <v>25</v>
      </c>
      <c r="C31" s="129" t="s">
        <v>19</v>
      </c>
      <c r="D31" s="130">
        <f t="shared" si="2"/>
        <v>1209389</v>
      </c>
      <c r="E31" s="13">
        <f>262+27585</f>
        <v>27847</v>
      </c>
      <c r="F31" s="13">
        <f>330+45137</f>
        <v>45467</v>
      </c>
      <c r="G31" s="13">
        <v>61089</v>
      </c>
      <c r="H31" s="13">
        <v>43667</v>
      </c>
      <c r="I31" s="13">
        <v>55430</v>
      </c>
      <c r="J31" s="44">
        <v>51747</v>
      </c>
      <c r="K31" s="44">
        <v>53068</v>
      </c>
      <c r="L31" s="13">
        <v>56438</v>
      </c>
      <c r="M31" s="13">
        <v>53186</v>
      </c>
      <c r="N31" s="13">
        <v>58597</v>
      </c>
      <c r="O31" s="13">
        <v>54531</v>
      </c>
      <c r="P31" s="13">
        <v>648322</v>
      </c>
      <c r="Q31" s="13">
        <f t="shared" si="3"/>
        <v>1209389</v>
      </c>
      <c r="R31" s="113"/>
      <c r="S31" s="23">
        <f t="shared" si="4"/>
        <v>0</v>
      </c>
    </row>
    <row r="32" spans="2:19" s="115" customFormat="1">
      <c r="B32">
        <v>26</v>
      </c>
      <c r="C32" s="132" t="s">
        <v>157</v>
      </c>
      <c r="D32" s="128">
        <f>+Q32</f>
        <v>475233</v>
      </c>
      <c r="E32" s="279">
        <f>390+12975</f>
        <v>13365</v>
      </c>
      <c r="F32" s="279">
        <f>494+15796</f>
        <v>16290</v>
      </c>
      <c r="G32" s="279">
        <v>23932</v>
      </c>
      <c r="H32" s="279">
        <v>20228</v>
      </c>
      <c r="I32" s="279">
        <v>34189</v>
      </c>
      <c r="J32" s="280">
        <v>38245</v>
      </c>
      <c r="K32" s="280">
        <v>44775</v>
      </c>
      <c r="L32" s="279">
        <v>45950</v>
      </c>
      <c r="M32" s="13">
        <v>42538</v>
      </c>
      <c r="N32" s="13">
        <v>43979</v>
      </c>
      <c r="O32" s="13">
        <v>44698</v>
      </c>
      <c r="P32" s="13">
        <v>107044</v>
      </c>
      <c r="Q32" s="13">
        <f t="shared" si="3"/>
        <v>475233</v>
      </c>
      <c r="R32" s="113"/>
      <c r="S32" s="23">
        <f t="shared" si="4"/>
        <v>0</v>
      </c>
    </row>
    <row r="33" spans="2:19" s="115" customFormat="1">
      <c r="B33">
        <v>27</v>
      </c>
      <c r="C33" s="129" t="s">
        <v>155</v>
      </c>
      <c r="D33" s="130">
        <f t="shared" ref="D33" si="5">+Q33</f>
        <v>155885</v>
      </c>
      <c r="E33" s="279"/>
      <c r="F33" s="279">
        <f>84+2575</f>
        <v>2659</v>
      </c>
      <c r="G33" s="279">
        <v>13982</v>
      </c>
      <c r="H33" s="279">
        <v>11435</v>
      </c>
      <c r="I33" s="279">
        <v>13026</v>
      </c>
      <c r="J33" s="281">
        <v>12702</v>
      </c>
      <c r="K33" s="281">
        <v>13346</v>
      </c>
      <c r="L33" s="288">
        <v>14464</v>
      </c>
      <c r="M33" s="13">
        <v>11117</v>
      </c>
      <c r="N33" s="13">
        <v>11858</v>
      </c>
      <c r="O33" s="13">
        <v>11584</v>
      </c>
      <c r="P33" s="13">
        <v>39712</v>
      </c>
      <c r="Q33" s="13">
        <f t="shared" si="3"/>
        <v>155885</v>
      </c>
      <c r="R33" s="113"/>
      <c r="S33" s="23">
        <f t="shared" si="4"/>
        <v>0</v>
      </c>
    </row>
    <row r="34" spans="2:19" s="115" customFormat="1">
      <c r="B34">
        <v>28</v>
      </c>
      <c r="C34" s="132" t="s">
        <v>20</v>
      </c>
      <c r="D34" s="128">
        <f t="shared" si="2"/>
        <v>543702</v>
      </c>
      <c r="E34" s="279">
        <f>2900+233+21085</f>
        <v>24218</v>
      </c>
      <c r="F34" s="279">
        <f>3300+311+28533</f>
        <v>32144</v>
      </c>
      <c r="G34" s="279">
        <v>39220</v>
      </c>
      <c r="H34" s="279">
        <v>31028</v>
      </c>
      <c r="I34" s="279">
        <v>38006</v>
      </c>
      <c r="J34" s="280">
        <v>37410</v>
      </c>
      <c r="K34" s="280">
        <v>38695</v>
      </c>
      <c r="L34" s="279">
        <v>40343</v>
      </c>
      <c r="M34" s="13">
        <v>37517</v>
      </c>
      <c r="N34" s="13">
        <v>41379</v>
      </c>
      <c r="O34" s="13">
        <v>46682</v>
      </c>
      <c r="P34" s="13">
        <v>137060</v>
      </c>
      <c r="Q34" s="13">
        <f t="shared" si="3"/>
        <v>543702</v>
      </c>
      <c r="R34" s="113"/>
      <c r="S34" s="23">
        <f t="shared" si="4"/>
        <v>0</v>
      </c>
    </row>
    <row r="35" spans="2:19" s="115" customFormat="1">
      <c r="B35">
        <v>29</v>
      </c>
      <c r="C35" s="129" t="s">
        <v>21</v>
      </c>
      <c r="D35" s="130">
        <f t="shared" si="2"/>
        <v>513725</v>
      </c>
      <c r="E35" s="279">
        <f>645+360+20335</f>
        <v>21340</v>
      </c>
      <c r="F35" s="279">
        <f>817+418+27949</f>
        <v>29184</v>
      </c>
      <c r="G35" s="279">
        <v>35847</v>
      </c>
      <c r="H35" s="279">
        <v>28143</v>
      </c>
      <c r="I35" s="279">
        <v>34437</v>
      </c>
      <c r="J35" s="280">
        <v>33430</v>
      </c>
      <c r="K35" s="280">
        <v>34179</v>
      </c>
      <c r="L35" s="279">
        <v>36384</v>
      </c>
      <c r="M35" s="13">
        <v>36912</v>
      </c>
      <c r="N35" s="13">
        <v>38817</v>
      </c>
      <c r="O35" s="13">
        <v>36042</v>
      </c>
      <c r="P35" s="13">
        <v>149010</v>
      </c>
      <c r="Q35" s="13">
        <f t="shared" si="3"/>
        <v>513725</v>
      </c>
      <c r="R35" s="113"/>
      <c r="S35" s="23">
        <f t="shared" si="4"/>
        <v>0</v>
      </c>
    </row>
    <row r="36" spans="2:19" s="115" customFormat="1">
      <c r="B36">
        <v>30</v>
      </c>
      <c r="C36" s="132" t="s">
        <v>160</v>
      </c>
      <c r="D36" s="128">
        <f>+Q36</f>
        <v>133014</v>
      </c>
      <c r="E36" s="279"/>
      <c r="F36" s="279">
        <f>76+1943</f>
        <v>2019</v>
      </c>
      <c r="G36" s="279">
        <v>9283</v>
      </c>
      <c r="H36" s="279">
        <v>6736</v>
      </c>
      <c r="I36" s="279">
        <v>12599</v>
      </c>
      <c r="J36" s="281">
        <v>14951</v>
      </c>
      <c r="K36" s="281">
        <v>14716</v>
      </c>
      <c r="L36" s="288">
        <v>17297</v>
      </c>
      <c r="M36" s="13">
        <v>15374</v>
      </c>
      <c r="N36" s="13">
        <v>15478</v>
      </c>
      <c r="O36" s="13">
        <v>14239</v>
      </c>
      <c r="P36" s="13">
        <v>10322</v>
      </c>
      <c r="Q36" s="13">
        <f t="shared" si="3"/>
        <v>133014</v>
      </c>
      <c r="R36" s="113"/>
      <c r="S36" s="23">
        <f t="shared" si="4"/>
        <v>0</v>
      </c>
    </row>
    <row r="37" spans="2:19" s="115" customFormat="1">
      <c r="B37">
        <v>31</v>
      </c>
      <c r="C37" s="129" t="s">
        <v>144</v>
      </c>
      <c r="D37" s="130">
        <f t="shared" si="2"/>
        <v>564045</v>
      </c>
      <c r="E37" s="279">
        <f>261+21359+2728</f>
        <v>24348</v>
      </c>
      <c r="F37" s="279">
        <f>397+28500</f>
        <v>28897</v>
      </c>
      <c r="G37" s="279">
        <v>35300</v>
      </c>
      <c r="H37" s="279">
        <v>30200</v>
      </c>
      <c r="I37" s="279">
        <v>32300</v>
      </c>
      <c r="J37" s="280">
        <v>32900</v>
      </c>
      <c r="K37" s="280">
        <v>33450</v>
      </c>
      <c r="L37" s="279">
        <v>35670</v>
      </c>
      <c r="M37" s="13">
        <v>33600</v>
      </c>
      <c r="N37" s="13">
        <v>35200</v>
      </c>
      <c r="O37" s="13">
        <v>39080</v>
      </c>
      <c r="P37" s="13">
        <v>203100</v>
      </c>
      <c r="Q37" s="13">
        <f t="shared" si="3"/>
        <v>564045</v>
      </c>
      <c r="R37" s="113"/>
      <c r="S37" s="23">
        <f t="shared" si="4"/>
        <v>0</v>
      </c>
    </row>
    <row r="38" spans="2:19" s="115" customFormat="1">
      <c r="B38">
        <v>32</v>
      </c>
      <c r="C38" s="132" t="s">
        <v>186</v>
      </c>
      <c r="D38" s="128">
        <f t="shared" si="2"/>
        <v>132860</v>
      </c>
      <c r="E38" s="279"/>
      <c r="F38" s="279"/>
      <c r="G38" s="279"/>
      <c r="H38" s="279">
        <v>4323</v>
      </c>
      <c r="I38" s="279">
        <v>14498</v>
      </c>
      <c r="J38" s="280">
        <v>18858</v>
      </c>
      <c r="K38" s="280">
        <v>17716</v>
      </c>
      <c r="L38" s="279">
        <v>15657</v>
      </c>
      <c r="M38" s="13">
        <v>14415</v>
      </c>
      <c r="N38" s="13">
        <v>15292</v>
      </c>
      <c r="O38" s="13">
        <v>16140</v>
      </c>
      <c r="P38" s="13">
        <v>15961</v>
      </c>
      <c r="Q38" s="13">
        <f t="shared" si="3"/>
        <v>132860</v>
      </c>
      <c r="R38" s="113"/>
      <c r="S38" s="23">
        <f t="shared" si="4"/>
        <v>0</v>
      </c>
    </row>
    <row r="39" spans="2:19" s="115" customFormat="1">
      <c r="B39">
        <v>33</v>
      </c>
      <c r="C39" s="129" t="s">
        <v>22</v>
      </c>
      <c r="D39" s="130">
        <f t="shared" si="2"/>
        <v>1099073</v>
      </c>
      <c r="E39" s="279">
        <f>1545+27595</f>
        <v>29140</v>
      </c>
      <c r="F39" s="279">
        <f>2240+44245</f>
        <v>46485</v>
      </c>
      <c r="G39" s="279">
        <v>64683</v>
      </c>
      <c r="H39" s="279">
        <v>55997</v>
      </c>
      <c r="I39" s="279">
        <v>73535</v>
      </c>
      <c r="J39" s="280">
        <v>69615</v>
      </c>
      <c r="K39" s="280">
        <v>67758</v>
      </c>
      <c r="L39" s="279">
        <v>69322</v>
      </c>
      <c r="M39" s="13">
        <v>56415</v>
      </c>
      <c r="N39" s="13">
        <v>69695</v>
      </c>
      <c r="O39" s="13">
        <v>66228</v>
      </c>
      <c r="P39" s="13">
        <v>430200</v>
      </c>
      <c r="Q39" s="13">
        <f t="shared" si="3"/>
        <v>1099073</v>
      </c>
      <c r="R39" s="113"/>
      <c r="S39" s="23">
        <f t="shared" si="4"/>
        <v>0</v>
      </c>
    </row>
    <row r="40" spans="2:19" s="115" customFormat="1">
      <c r="B40">
        <v>34</v>
      </c>
      <c r="C40" s="132" t="s">
        <v>145</v>
      </c>
      <c r="D40" s="128">
        <f t="shared" si="2"/>
        <v>58026</v>
      </c>
      <c r="E40" s="279"/>
      <c r="F40" s="279">
        <f>428+5380</f>
        <v>5808</v>
      </c>
      <c r="G40" s="279">
        <v>10380</v>
      </c>
      <c r="H40" s="279">
        <v>6820</v>
      </c>
      <c r="I40" s="279">
        <v>4857</v>
      </c>
      <c r="J40" s="280">
        <v>140</v>
      </c>
      <c r="K40" s="280">
        <v>1397</v>
      </c>
      <c r="L40" s="279">
        <v>2552</v>
      </c>
      <c r="M40" s="13">
        <v>7026</v>
      </c>
      <c r="N40" s="13">
        <v>8720</v>
      </c>
      <c r="O40" s="13">
        <v>8447</v>
      </c>
      <c r="P40" s="13">
        <v>1879</v>
      </c>
      <c r="Q40" s="13">
        <f t="shared" si="3"/>
        <v>58026</v>
      </c>
      <c r="R40" s="113"/>
      <c r="S40" s="23">
        <f t="shared" si="4"/>
        <v>0</v>
      </c>
    </row>
    <row r="41" spans="2:19" s="115" customFormat="1">
      <c r="B41">
        <v>35</v>
      </c>
      <c r="C41" s="129" t="s">
        <v>62</v>
      </c>
      <c r="D41" s="130">
        <f t="shared" si="2"/>
        <v>350871</v>
      </c>
      <c r="E41" s="279">
        <f>228+13895</f>
        <v>14123</v>
      </c>
      <c r="F41" s="279">
        <f>318+19651</f>
        <v>19969</v>
      </c>
      <c r="G41" s="279">
        <v>23965</v>
      </c>
      <c r="H41" s="279">
        <v>23300</v>
      </c>
      <c r="I41" s="279">
        <v>29339</v>
      </c>
      <c r="J41" s="280">
        <v>29376</v>
      </c>
      <c r="K41" s="280">
        <v>36684</v>
      </c>
      <c r="L41" s="279">
        <v>39705</v>
      </c>
      <c r="M41" s="13">
        <v>35697</v>
      </c>
      <c r="N41" s="13">
        <v>26862</v>
      </c>
      <c r="O41" s="13">
        <v>34693</v>
      </c>
      <c r="P41" s="13">
        <v>37158</v>
      </c>
      <c r="Q41" s="13">
        <f t="shared" si="3"/>
        <v>350871</v>
      </c>
      <c r="R41" s="113"/>
      <c r="S41" s="23">
        <f t="shared" si="4"/>
        <v>0</v>
      </c>
    </row>
    <row r="42" spans="2:19" s="115" customFormat="1">
      <c r="B42">
        <v>36</v>
      </c>
      <c r="C42" s="132" t="s">
        <v>64</v>
      </c>
      <c r="D42" s="128">
        <f t="shared" si="2"/>
        <v>281050</v>
      </c>
      <c r="E42" s="279">
        <f>375+10011</f>
        <v>10386</v>
      </c>
      <c r="F42" s="279">
        <f>485+13130</f>
        <v>13615</v>
      </c>
      <c r="G42" s="279">
        <v>17326</v>
      </c>
      <c r="H42" s="279">
        <v>16668</v>
      </c>
      <c r="I42" s="279">
        <v>21495</v>
      </c>
      <c r="J42" s="280">
        <v>18951</v>
      </c>
      <c r="K42" s="280">
        <v>20631</v>
      </c>
      <c r="L42" s="279">
        <v>24225</v>
      </c>
      <c r="M42" s="13">
        <v>21415</v>
      </c>
      <c r="N42" s="13">
        <v>23148</v>
      </c>
      <c r="O42" s="13">
        <v>23876</v>
      </c>
      <c r="P42" s="13">
        <v>69314</v>
      </c>
      <c r="Q42" s="13">
        <f t="shared" si="3"/>
        <v>281050</v>
      </c>
      <c r="R42" s="113"/>
      <c r="S42" s="23">
        <f t="shared" si="4"/>
        <v>0</v>
      </c>
    </row>
    <row r="43" spans="2:19" s="115" customFormat="1">
      <c r="B43">
        <v>37</v>
      </c>
      <c r="C43" s="129" t="s">
        <v>161</v>
      </c>
      <c r="D43" s="130">
        <f t="shared" si="2"/>
        <v>111574</v>
      </c>
      <c r="E43" s="279"/>
      <c r="F43" s="279"/>
      <c r="G43" s="279">
        <v>4130</v>
      </c>
      <c r="H43" s="279">
        <v>6490</v>
      </c>
      <c r="I43" s="279">
        <v>7980</v>
      </c>
      <c r="J43" s="280">
        <v>9140</v>
      </c>
      <c r="K43" s="280">
        <v>10524</v>
      </c>
      <c r="L43" s="279">
        <v>11800</v>
      </c>
      <c r="M43" s="13">
        <v>12200</v>
      </c>
      <c r="N43" s="13">
        <v>14050</v>
      </c>
      <c r="O43" s="13">
        <v>16500</v>
      </c>
      <c r="P43" s="13">
        <v>18760</v>
      </c>
      <c r="Q43" s="13">
        <f t="shared" si="3"/>
        <v>111574</v>
      </c>
      <c r="R43" s="113"/>
      <c r="S43" s="23">
        <f t="shared" si="4"/>
        <v>0</v>
      </c>
    </row>
    <row r="44" spans="2:19" s="115" customFormat="1">
      <c r="B44">
        <v>38</v>
      </c>
      <c r="C44" s="132" t="s">
        <v>45</v>
      </c>
      <c r="D44" s="128">
        <f t="shared" si="2"/>
        <v>326768</v>
      </c>
      <c r="E44" s="279">
        <f>270+15605</f>
        <v>15875</v>
      </c>
      <c r="F44" s="279">
        <f>414+22593</f>
        <v>23007</v>
      </c>
      <c r="G44" s="279">
        <v>27512</v>
      </c>
      <c r="H44" s="279">
        <v>21727</v>
      </c>
      <c r="I44" s="279">
        <v>27968</v>
      </c>
      <c r="J44" s="280">
        <v>26517</v>
      </c>
      <c r="K44" s="280">
        <v>27462</v>
      </c>
      <c r="L44" s="279">
        <v>26949</v>
      </c>
      <c r="M44" s="13">
        <v>23412</v>
      </c>
      <c r="N44" s="13">
        <v>24307</v>
      </c>
      <c r="O44" s="13">
        <v>22554</v>
      </c>
      <c r="P44" s="13">
        <v>59478</v>
      </c>
      <c r="Q44" s="13">
        <f t="shared" si="3"/>
        <v>326768</v>
      </c>
      <c r="R44" s="113"/>
      <c r="S44" s="23">
        <f t="shared" si="4"/>
        <v>0</v>
      </c>
    </row>
    <row r="45" spans="2:19" s="115" customFormat="1">
      <c r="B45">
        <v>39</v>
      </c>
      <c r="C45" s="129" t="s">
        <v>162</v>
      </c>
      <c r="D45" s="130">
        <f t="shared" si="2"/>
        <v>241136</v>
      </c>
      <c r="E45" s="279">
        <f>240+6364</f>
        <v>6604</v>
      </c>
      <c r="F45" s="279">
        <f>321+12959</f>
        <v>13280</v>
      </c>
      <c r="G45" s="279">
        <v>20933</v>
      </c>
      <c r="H45" s="279">
        <v>18517</v>
      </c>
      <c r="I45" s="279">
        <v>20258</v>
      </c>
      <c r="J45" s="280">
        <v>19001</v>
      </c>
      <c r="K45" s="280">
        <v>24057</v>
      </c>
      <c r="L45" s="279">
        <v>28316</v>
      </c>
      <c r="M45" s="13">
        <v>22413</v>
      </c>
      <c r="N45" s="13">
        <v>17469</v>
      </c>
      <c r="O45" s="13">
        <v>17234</v>
      </c>
      <c r="P45" s="13">
        <v>33054</v>
      </c>
      <c r="Q45" s="13">
        <f t="shared" si="3"/>
        <v>241136</v>
      </c>
      <c r="R45" s="113"/>
      <c r="S45" s="23">
        <f t="shared" si="4"/>
        <v>0</v>
      </c>
    </row>
    <row r="46" spans="2:19" s="115" customFormat="1">
      <c r="B46">
        <v>40</v>
      </c>
      <c r="C46" s="132" t="s">
        <v>163</v>
      </c>
      <c r="D46" s="128">
        <f>+Q46</f>
        <v>447873</v>
      </c>
      <c r="E46" s="279"/>
      <c r="F46" s="279">
        <f>90+5262</f>
        <v>5352</v>
      </c>
      <c r="G46" s="279">
        <v>26647</v>
      </c>
      <c r="H46" s="279">
        <v>25033</v>
      </c>
      <c r="I46" s="279">
        <v>40801</v>
      </c>
      <c r="J46" s="281">
        <v>43534</v>
      </c>
      <c r="K46" s="281">
        <v>41184</v>
      </c>
      <c r="L46" s="288">
        <v>44975</v>
      </c>
      <c r="M46" s="13">
        <v>40540</v>
      </c>
      <c r="N46" s="13">
        <v>54337</v>
      </c>
      <c r="O46" s="13">
        <v>49398</v>
      </c>
      <c r="P46" s="13">
        <v>76072</v>
      </c>
      <c r="Q46" s="13">
        <f t="shared" si="3"/>
        <v>447873</v>
      </c>
      <c r="R46" s="113"/>
      <c r="S46" s="23">
        <f t="shared" si="4"/>
        <v>0</v>
      </c>
    </row>
    <row r="47" spans="2:19" s="115" customFormat="1">
      <c r="B47">
        <v>41</v>
      </c>
      <c r="C47" s="129" t="s">
        <v>164</v>
      </c>
      <c r="D47" s="130">
        <f>+Q47</f>
        <v>222591</v>
      </c>
      <c r="E47" s="279"/>
      <c r="F47" s="279">
        <f>114+2886</f>
        <v>3000</v>
      </c>
      <c r="G47" s="279">
        <v>18971</v>
      </c>
      <c r="H47" s="279">
        <v>16870</v>
      </c>
      <c r="I47" s="279">
        <v>20920</v>
      </c>
      <c r="J47" s="281">
        <v>21795</v>
      </c>
      <c r="K47" s="281">
        <v>22550</v>
      </c>
      <c r="L47" s="288">
        <v>23000</v>
      </c>
      <c r="M47" s="13">
        <v>22485</v>
      </c>
      <c r="N47" s="13">
        <v>23580</v>
      </c>
      <c r="O47" s="13">
        <v>23310</v>
      </c>
      <c r="P47" s="13">
        <v>26110</v>
      </c>
      <c r="Q47" s="13">
        <f t="shared" si="3"/>
        <v>222591</v>
      </c>
      <c r="R47" s="113"/>
      <c r="S47" s="23">
        <f t="shared" si="4"/>
        <v>0</v>
      </c>
    </row>
    <row r="48" spans="2:19" s="115" customFormat="1">
      <c r="B48">
        <v>42</v>
      </c>
      <c r="C48" s="132" t="s">
        <v>165</v>
      </c>
      <c r="D48" s="128">
        <f>+Q48</f>
        <v>240473</v>
      </c>
      <c r="E48" s="279"/>
      <c r="F48" s="279">
        <f>75+3170</f>
        <v>3245</v>
      </c>
      <c r="G48" s="279">
        <v>17782</v>
      </c>
      <c r="H48" s="279">
        <v>14087</v>
      </c>
      <c r="I48" s="279">
        <v>17939</v>
      </c>
      <c r="J48" s="281">
        <v>17978</v>
      </c>
      <c r="K48" s="281">
        <v>19007</v>
      </c>
      <c r="L48" s="288">
        <v>22088</v>
      </c>
      <c r="M48" s="13">
        <v>21880</v>
      </c>
      <c r="N48" s="13">
        <v>23547</v>
      </c>
      <c r="O48" s="13">
        <v>23074</v>
      </c>
      <c r="P48" s="13">
        <v>59846</v>
      </c>
      <c r="Q48" s="13">
        <f t="shared" si="3"/>
        <v>240473</v>
      </c>
      <c r="R48" s="113"/>
      <c r="S48" s="23">
        <f t="shared" si="4"/>
        <v>0</v>
      </c>
    </row>
    <row r="49" spans="2:19" s="115" customFormat="1">
      <c r="B49">
        <v>43</v>
      </c>
      <c r="C49" s="129" t="s">
        <v>154</v>
      </c>
      <c r="D49" s="130">
        <f>+Q49</f>
        <v>185509</v>
      </c>
      <c r="E49" s="279"/>
      <c r="F49" s="279">
        <f>73+3092</f>
        <v>3165</v>
      </c>
      <c r="G49" s="279">
        <v>15650</v>
      </c>
      <c r="H49" s="279">
        <v>14833</v>
      </c>
      <c r="I49" s="279">
        <v>19153</v>
      </c>
      <c r="J49" s="281">
        <v>17585</v>
      </c>
      <c r="K49" s="281">
        <v>16612</v>
      </c>
      <c r="L49" s="288">
        <v>15736</v>
      </c>
      <c r="M49" s="13">
        <v>13991</v>
      </c>
      <c r="N49" s="13">
        <v>15223</v>
      </c>
      <c r="O49" s="13">
        <v>15946</v>
      </c>
      <c r="P49" s="13">
        <v>37615</v>
      </c>
      <c r="Q49" s="13">
        <f t="shared" si="3"/>
        <v>185509</v>
      </c>
      <c r="R49" s="113"/>
      <c r="S49" s="23">
        <f t="shared" si="4"/>
        <v>0</v>
      </c>
    </row>
    <row r="50" spans="2:19" s="115" customFormat="1">
      <c r="B50">
        <v>44</v>
      </c>
      <c r="C50" s="132" t="s">
        <v>182</v>
      </c>
      <c r="D50" s="128">
        <f>+Q50</f>
        <v>317249</v>
      </c>
      <c r="E50" s="279"/>
      <c r="F50" s="279"/>
      <c r="G50" s="279"/>
      <c r="H50" s="279"/>
      <c r="I50" s="279">
        <v>1689</v>
      </c>
      <c r="J50" s="281">
        <v>29420</v>
      </c>
      <c r="K50" s="281">
        <v>29101</v>
      </c>
      <c r="L50" s="288">
        <v>36749</v>
      </c>
      <c r="M50" s="13">
        <v>39450</v>
      </c>
      <c r="N50" s="13">
        <v>55833</v>
      </c>
      <c r="O50" s="13">
        <v>69900</v>
      </c>
      <c r="P50" s="13">
        <v>55107</v>
      </c>
      <c r="Q50" s="13">
        <f t="shared" si="3"/>
        <v>317249</v>
      </c>
      <c r="R50" s="113"/>
      <c r="S50" s="23">
        <f t="shared" si="4"/>
        <v>0</v>
      </c>
    </row>
    <row r="51" spans="2:19" s="115" customFormat="1">
      <c r="B51">
        <v>45</v>
      </c>
      <c r="C51" s="129" t="s">
        <v>23</v>
      </c>
      <c r="D51" s="130">
        <f t="shared" si="2"/>
        <v>659927</v>
      </c>
      <c r="E51" s="279">
        <f>1788+520+26790</f>
        <v>29098</v>
      </c>
      <c r="F51" s="279">
        <f>2114+668+34702</f>
        <v>37484</v>
      </c>
      <c r="G51" s="279">
        <v>46414</v>
      </c>
      <c r="H51" s="279">
        <v>37992</v>
      </c>
      <c r="I51" s="279">
        <v>52112</v>
      </c>
      <c r="J51" s="280">
        <v>46566</v>
      </c>
      <c r="K51" s="280">
        <v>48466</v>
      </c>
      <c r="L51" s="279">
        <v>49304</v>
      </c>
      <c r="M51" s="13">
        <v>47405</v>
      </c>
      <c r="N51" s="13">
        <v>45485</v>
      </c>
      <c r="O51" s="13">
        <v>49431</v>
      </c>
      <c r="P51" s="13">
        <v>170170</v>
      </c>
      <c r="Q51" s="13">
        <f t="shared" si="3"/>
        <v>659927</v>
      </c>
      <c r="R51" s="113"/>
      <c r="S51" s="23">
        <f t="shared" si="4"/>
        <v>0</v>
      </c>
    </row>
    <row r="52" spans="2:19" s="115" customFormat="1" ht="13.5" customHeight="1">
      <c r="B52">
        <v>46</v>
      </c>
      <c r="C52" s="132" t="s">
        <v>146</v>
      </c>
      <c r="D52" s="128">
        <f t="shared" si="2"/>
        <v>37145</v>
      </c>
      <c r="E52" s="279"/>
      <c r="F52" s="279">
        <f>105+2270</f>
        <v>2375</v>
      </c>
      <c r="G52" s="279">
        <v>10470</v>
      </c>
      <c r="H52" s="279">
        <v>6869</v>
      </c>
      <c r="I52" s="279">
        <v>3535</v>
      </c>
      <c r="J52" s="280">
        <v>1550</v>
      </c>
      <c r="K52" s="280">
        <v>1680</v>
      </c>
      <c r="L52" s="279">
        <v>460</v>
      </c>
      <c r="M52" s="13">
        <v>2640</v>
      </c>
      <c r="N52" s="13">
        <v>3560</v>
      </c>
      <c r="O52" s="13">
        <v>2876</v>
      </c>
      <c r="P52" s="13">
        <v>1130</v>
      </c>
      <c r="Q52" s="13">
        <f t="shared" si="3"/>
        <v>37145</v>
      </c>
      <c r="R52" s="113"/>
      <c r="S52" s="23">
        <f t="shared" si="4"/>
        <v>0</v>
      </c>
    </row>
    <row r="53" spans="2:19" s="115" customFormat="1">
      <c r="B53">
        <v>47</v>
      </c>
      <c r="C53" s="129" t="s">
        <v>65</v>
      </c>
      <c r="D53" s="130">
        <f t="shared" si="2"/>
        <v>73698</v>
      </c>
      <c r="E53" s="279">
        <f>131+4234</f>
        <v>4365</v>
      </c>
      <c r="F53" s="279">
        <f>155+5356</f>
        <v>5511</v>
      </c>
      <c r="G53" s="279">
        <v>6695</v>
      </c>
      <c r="H53" s="279">
        <v>5241</v>
      </c>
      <c r="I53" s="279">
        <v>6452</v>
      </c>
      <c r="J53" s="280">
        <v>6180</v>
      </c>
      <c r="K53" s="280">
        <v>6164</v>
      </c>
      <c r="L53" s="279">
        <v>6707</v>
      </c>
      <c r="M53" s="13">
        <v>6482</v>
      </c>
      <c r="N53" s="13">
        <v>6955</v>
      </c>
      <c r="O53" s="13">
        <v>6640</v>
      </c>
      <c r="P53" s="13">
        <v>6306</v>
      </c>
      <c r="Q53" s="13">
        <f t="shared" si="3"/>
        <v>73698</v>
      </c>
      <c r="R53" s="113"/>
      <c r="S53" s="23">
        <f t="shared" si="4"/>
        <v>0</v>
      </c>
    </row>
    <row r="54" spans="2:19" s="115" customFormat="1">
      <c r="B54">
        <v>48</v>
      </c>
      <c r="C54" s="132" t="s">
        <v>25</v>
      </c>
      <c r="D54" s="128">
        <f t="shared" si="2"/>
        <v>91823</v>
      </c>
      <c r="E54" s="279">
        <f>150+5155</f>
        <v>5305</v>
      </c>
      <c r="F54" s="279">
        <f>190+6550</f>
        <v>6740</v>
      </c>
      <c r="G54" s="279">
        <v>8236</v>
      </c>
      <c r="H54" s="279">
        <v>6500</v>
      </c>
      <c r="I54" s="279">
        <v>7949</v>
      </c>
      <c r="J54" s="280">
        <v>7862</v>
      </c>
      <c r="K54" s="280">
        <v>7675</v>
      </c>
      <c r="L54" s="279">
        <v>8357</v>
      </c>
      <c r="M54" s="13">
        <v>7623</v>
      </c>
      <c r="N54" s="13">
        <v>8037</v>
      </c>
      <c r="O54" s="13">
        <v>7669</v>
      </c>
      <c r="P54" s="13">
        <v>9870</v>
      </c>
      <c r="Q54" s="13">
        <f t="shared" si="3"/>
        <v>91823</v>
      </c>
      <c r="R54" s="113"/>
      <c r="S54" s="23">
        <f t="shared" si="4"/>
        <v>0</v>
      </c>
    </row>
    <row r="55" spans="2:19" s="115" customFormat="1">
      <c r="B55">
        <v>49</v>
      </c>
      <c r="C55" s="129" t="s">
        <v>63</v>
      </c>
      <c r="D55" s="130">
        <f t="shared" si="2"/>
        <v>76132</v>
      </c>
      <c r="E55" s="279">
        <f>120+4292</f>
        <v>4412</v>
      </c>
      <c r="F55" s="279">
        <f>152+5427</f>
        <v>5579</v>
      </c>
      <c r="G55" s="279">
        <v>6813</v>
      </c>
      <c r="H55" s="279">
        <v>5295</v>
      </c>
      <c r="I55" s="279">
        <v>6462</v>
      </c>
      <c r="J55" s="280">
        <v>6368</v>
      </c>
      <c r="K55" s="280">
        <v>6460</v>
      </c>
      <c r="L55" s="279">
        <v>7036</v>
      </c>
      <c r="M55" s="13">
        <v>6397</v>
      </c>
      <c r="N55" s="13">
        <v>7088</v>
      </c>
      <c r="O55" s="13">
        <v>7734</v>
      </c>
      <c r="P55" s="13">
        <v>6488</v>
      </c>
      <c r="Q55" s="13">
        <f t="shared" si="3"/>
        <v>76132</v>
      </c>
      <c r="R55" s="113"/>
      <c r="S55" s="23">
        <f t="shared" si="4"/>
        <v>0</v>
      </c>
    </row>
    <row r="56" spans="2:19" s="115" customFormat="1">
      <c r="B56">
        <v>50</v>
      </c>
      <c r="C56" s="132" t="s">
        <v>24</v>
      </c>
      <c r="D56" s="128">
        <f t="shared" si="2"/>
        <v>432370</v>
      </c>
      <c r="E56" s="279">
        <f>363+14024</f>
        <v>14387</v>
      </c>
      <c r="F56" s="279">
        <f>471+17821</f>
        <v>18292</v>
      </c>
      <c r="G56" s="279">
        <v>22550</v>
      </c>
      <c r="H56" s="279">
        <v>19617</v>
      </c>
      <c r="I56" s="279">
        <v>26131</v>
      </c>
      <c r="J56" s="280">
        <v>26749</v>
      </c>
      <c r="K56" s="280">
        <v>26299</v>
      </c>
      <c r="L56" s="279">
        <v>26792</v>
      </c>
      <c r="M56" s="13">
        <v>27215</v>
      </c>
      <c r="N56" s="13">
        <v>26980</v>
      </c>
      <c r="O56" s="13">
        <v>27649</v>
      </c>
      <c r="P56" s="13">
        <v>169709</v>
      </c>
      <c r="Q56" s="13">
        <f t="shared" si="3"/>
        <v>432370</v>
      </c>
      <c r="R56" s="113"/>
      <c r="S56" s="23">
        <f t="shared" si="4"/>
        <v>0</v>
      </c>
    </row>
    <row r="57" spans="2:19" s="115" customFormat="1">
      <c r="B57">
        <v>51</v>
      </c>
      <c r="C57" s="129" t="s">
        <v>218</v>
      </c>
      <c r="D57" s="130">
        <f>+Q57</f>
        <v>205215</v>
      </c>
      <c r="E57" s="279"/>
      <c r="F57" s="279"/>
      <c r="G57" s="279"/>
      <c r="H57" s="279"/>
      <c r="I57" s="279"/>
      <c r="J57" s="280"/>
      <c r="K57" s="280"/>
      <c r="L57" s="279">
        <v>28872</v>
      </c>
      <c r="M57" s="13">
        <v>24876</v>
      </c>
      <c r="N57" s="13">
        <v>23899</v>
      </c>
      <c r="O57" s="13">
        <v>28409</v>
      </c>
      <c r="P57" s="13">
        <v>99159</v>
      </c>
      <c r="Q57" s="13">
        <f t="shared" si="3"/>
        <v>205215</v>
      </c>
      <c r="R57" s="113"/>
      <c r="S57" s="23">
        <f t="shared" si="4"/>
        <v>0</v>
      </c>
    </row>
    <row r="58" spans="2:19" s="115" customFormat="1">
      <c r="B58">
        <v>52</v>
      </c>
      <c r="C58" s="132" t="s">
        <v>60</v>
      </c>
      <c r="D58" s="128">
        <f t="shared" si="2"/>
        <v>495441</v>
      </c>
      <c r="E58" s="279">
        <f>462+25253</f>
        <v>25715</v>
      </c>
      <c r="F58" s="279">
        <f>570+33566+230</f>
        <v>34366</v>
      </c>
      <c r="G58" s="279">
        <v>40054</v>
      </c>
      <c r="H58" s="279">
        <v>30990</v>
      </c>
      <c r="I58" s="279">
        <v>39139</v>
      </c>
      <c r="J58" s="280">
        <v>38020</v>
      </c>
      <c r="K58" s="280">
        <v>36059</v>
      </c>
      <c r="L58" s="279">
        <v>40954</v>
      </c>
      <c r="M58" s="13">
        <v>39839</v>
      </c>
      <c r="N58" s="13">
        <v>40587</v>
      </c>
      <c r="O58" s="13">
        <v>40684</v>
      </c>
      <c r="P58" s="13">
        <v>89034</v>
      </c>
      <c r="Q58" s="13">
        <f t="shared" si="3"/>
        <v>495441</v>
      </c>
      <c r="R58" s="113"/>
      <c r="S58" s="23">
        <f t="shared" si="4"/>
        <v>0</v>
      </c>
    </row>
    <row r="59" spans="2:19" s="115" customFormat="1">
      <c r="B59">
        <v>53</v>
      </c>
      <c r="C59" s="129" t="s">
        <v>26</v>
      </c>
      <c r="D59" s="130">
        <f t="shared" si="2"/>
        <v>525949</v>
      </c>
      <c r="E59" s="279">
        <f>864+24868</f>
        <v>25732</v>
      </c>
      <c r="F59" s="279">
        <f>1104+32483</f>
        <v>33587</v>
      </c>
      <c r="G59" s="279">
        <v>42761</v>
      </c>
      <c r="H59" s="279">
        <v>33359</v>
      </c>
      <c r="I59" s="279">
        <v>44805</v>
      </c>
      <c r="J59" s="280">
        <v>41375</v>
      </c>
      <c r="K59" s="280">
        <v>39566</v>
      </c>
      <c r="L59" s="279">
        <v>45783</v>
      </c>
      <c r="M59" s="13">
        <v>40332</v>
      </c>
      <c r="N59" s="13">
        <v>41278</v>
      </c>
      <c r="O59" s="13">
        <v>43175</v>
      </c>
      <c r="P59" s="13">
        <v>94196</v>
      </c>
      <c r="Q59" s="13">
        <f t="shared" si="3"/>
        <v>525949</v>
      </c>
      <c r="R59" s="113"/>
      <c r="S59" s="23">
        <f t="shared" si="4"/>
        <v>0</v>
      </c>
    </row>
    <row r="60" spans="2:19" s="115" customFormat="1">
      <c r="B60">
        <v>54</v>
      </c>
      <c r="C60" s="129" t="s">
        <v>229</v>
      </c>
      <c r="D60" s="130">
        <f t="shared" si="2"/>
        <v>95084</v>
      </c>
      <c r="E60" s="279"/>
      <c r="F60" s="279"/>
      <c r="G60" s="279"/>
      <c r="H60" s="279"/>
      <c r="I60" s="279"/>
      <c r="J60" s="280"/>
      <c r="K60" s="280"/>
      <c r="L60" s="279"/>
      <c r="M60" s="13"/>
      <c r="N60" s="13">
        <v>21878</v>
      </c>
      <c r="O60" s="13">
        <v>27461</v>
      </c>
      <c r="P60" s="13">
        <v>45745</v>
      </c>
      <c r="Q60" s="13">
        <f t="shared" si="3"/>
        <v>95084</v>
      </c>
      <c r="R60" s="113"/>
      <c r="S60" s="23">
        <f t="shared" si="4"/>
        <v>0</v>
      </c>
    </row>
    <row r="61" spans="2:19" s="115" customFormat="1">
      <c r="B61">
        <v>55</v>
      </c>
      <c r="C61" s="132" t="s">
        <v>27</v>
      </c>
      <c r="D61" s="128">
        <f t="shared" si="2"/>
        <v>267132</v>
      </c>
      <c r="E61" s="279">
        <f>272+16420</f>
        <v>16692</v>
      </c>
      <c r="F61" s="279">
        <f>340+15989</f>
        <v>16329</v>
      </c>
      <c r="G61" s="279">
        <v>19948</v>
      </c>
      <c r="H61" s="279">
        <v>15376</v>
      </c>
      <c r="I61" s="279">
        <v>19332</v>
      </c>
      <c r="J61" s="280">
        <v>17603</v>
      </c>
      <c r="K61" s="280">
        <v>17687</v>
      </c>
      <c r="L61" s="279">
        <v>18596</v>
      </c>
      <c r="M61" s="13">
        <v>19053</v>
      </c>
      <c r="N61" s="13">
        <v>26348</v>
      </c>
      <c r="O61" s="13">
        <v>25140</v>
      </c>
      <c r="P61" s="13">
        <v>55028</v>
      </c>
      <c r="Q61" s="13">
        <f t="shared" si="3"/>
        <v>267132</v>
      </c>
      <c r="R61" s="113"/>
      <c r="S61" s="23">
        <f t="shared" si="4"/>
        <v>0</v>
      </c>
    </row>
    <row r="62" spans="2:19" s="115" customFormat="1">
      <c r="B62">
        <v>56</v>
      </c>
      <c r="C62" s="129" t="s">
        <v>166</v>
      </c>
      <c r="D62" s="130">
        <f t="shared" si="2"/>
        <v>94270</v>
      </c>
      <c r="E62" s="279"/>
      <c r="F62" s="279"/>
      <c r="G62" s="279"/>
      <c r="H62" s="279">
        <v>7210</v>
      </c>
      <c r="I62" s="279">
        <v>11000</v>
      </c>
      <c r="J62" s="280">
        <v>9000</v>
      </c>
      <c r="K62" s="280">
        <v>10500</v>
      </c>
      <c r="L62" s="279">
        <v>11750</v>
      </c>
      <c r="M62" s="13">
        <v>10510</v>
      </c>
      <c r="N62" s="13">
        <v>10800</v>
      </c>
      <c r="O62" s="13">
        <v>10500</v>
      </c>
      <c r="P62" s="13">
        <v>13000</v>
      </c>
      <c r="Q62" s="13">
        <f t="shared" si="3"/>
        <v>94270</v>
      </c>
      <c r="R62" s="113"/>
      <c r="S62" s="23">
        <f t="shared" si="4"/>
        <v>0</v>
      </c>
    </row>
    <row r="63" spans="2:19" s="115" customFormat="1">
      <c r="B63">
        <v>57</v>
      </c>
      <c r="C63" s="132" t="s">
        <v>35</v>
      </c>
      <c r="D63" s="128">
        <f t="shared" si="2"/>
        <v>288153</v>
      </c>
      <c r="E63" s="279">
        <f>225+16451</f>
        <v>16676</v>
      </c>
      <c r="F63" s="279">
        <f>285+24072</f>
        <v>24357</v>
      </c>
      <c r="G63" s="279">
        <v>30167</v>
      </c>
      <c r="H63" s="279">
        <v>17155</v>
      </c>
      <c r="I63" s="279">
        <v>28800</v>
      </c>
      <c r="J63" s="280">
        <v>20857</v>
      </c>
      <c r="K63" s="280">
        <v>18727</v>
      </c>
      <c r="L63" s="279">
        <v>18581</v>
      </c>
      <c r="M63" s="13">
        <v>18037</v>
      </c>
      <c r="N63" s="13">
        <v>18196</v>
      </c>
      <c r="O63" s="13">
        <v>17616</v>
      </c>
      <c r="P63" s="13">
        <v>58984</v>
      </c>
      <c r="Q63" s="13">
        <f t="shared" si="3"/>
        <v>288153</v>
      </c>
      <c r="R63" s="113"/>
      <c r="S63" s="23">
        <f t="shared" si="4"/>
        <v>0</v>
      </c>
    </row>
    <row r="64" spans="2:19" s="115" customFormat="1">
      <c r="B64">
        <v>58</v>
      </c>
      <c r="C64" s="129" t="s">
        <v>44</v>
      </c>
      <c r="D64" s="130">
        <f t="shared" si="2"/>
        <v>222723</v>
      </c>
      <c r="E64" s="279">
        <f>475+9728</f>
        <v>10203</v>
      </c>
      <c r="F64" s="279">
        <f>552+14353</f>
        <v>14905</v>
      </c>
      <c r="G64" s="279">
        <v>19800</v>
      </c>
      <c r="H64" s="279">
        <v>18839</v>
      </c>
      <c r="I64" s="279">
        <v>21285</v>
      </c>
      <c r="J64" s="280">
        <v>22101</v>
      </c>
      <c r="K64" s="280">
        <v>15365</v>
      </c>
      <c r="L64" s="279">
        <v>14755</v>
      </c>
      <c r="M64" s="13">
        <v>11671</v>
      </c>
      <c r="N64" s="13">
        <v>11780</v>
      </c>
      <c r="O64" s="13">
        <v>12590</v>
      </c>
      <c r="P64" s="13">
        <v>49429</v>
      </c>
      <c r="Q64" s="13">
        <f t="shared" si="3"/>
        <v>222723</v>
      </c>
      <c r="R64" s="113"/>
      <c r="S64" s="23">
        <f t="shared" si="4"/>
        <v>0</v>
      </c>
    </row>
    <row r="65" spans="2:19" s="115" customFormat="1">
      <c r="B65">
        <v>59</v>
      </c>
      <c r="C65" s="132" t="s">
        <v>61</v>
      </c>
      <c r="D65" s="128">
        <f t="shared" si="2"/>
        <v>330108</v>
      </c>
      <c r="E65" s="279">
        <f>340+28715</f>
        <v>29055</v>
      </c>
      <c r="F65" s="279">
        <f>494+30295</f>
        <v>30789</v>
      </c>
      <c r="G65" s="279">
        <v>34183</v>
      </c>
      <c r="H65" s="279">
        <v>28490</v>
      </c>
      <c r="I65" s="279">
        <v>30761</v>
      </c>
      <c r="J65" s="280">
        <v>24081</v>
      </c>
      <c r="K65" s="280">
        <v>22069</v>
      </c>
      <c r="L65" s="279">
        <v>22403</v>
      </c>
      <c r="M65" s="13">
        <v>22565</v>
      </c>
      <c r="N65" s="13">
        <v>24664</v>
      </c>
      <c r="O65" s="13">
        <v>23474</v>
      </c>
      <c r="P65" s="13">
        <v>37574</v>
      </c>
      <c r="Q65" s="13">
        <f t="shared" si="3"/>
        <v>330108</v>
      </c>
      <c r="R65" s="113"/>
      <c r="S65" s="23">
        <f t="shared" si="4"/>
        <v>0</v>
      </c>
    </row>
    <row r="66" spans="2:19" s="115" customFormat="1">
      <c r="B66">
        <v>60</v>
      </c>
      <c r="C66" s="129" t="s">
        <v>41</v>
      </c>
      <c r="D66" s="130">
        <f t="shared" si="2"/>
        <v>199294</v>
      </c>
      <c r="E66" s="279">
        <f>480+7105</f>
        <v>7585</v>
      </c>
      <c r="F66" s="279">
        <f>608+9833</f>
        <v>10441</v>
      </c>
      <c r="G66" s="279">
        <v>12563</v>
      </c>
      <c r="H66" s="279">
        <v>11173</v>
      </c>
      <c r="I66" s="279">
        <v>14107</v>
      </c>
      <c r="J66" s="280">
        <v>15081</v>
      </c>
      <c r="K66" s="280">
        <v>16117</v>
      </c>
      <c r="L66" s="279">
        <v>15029</v>
      </c>
      <c r="M66" s="13">
        <v>15166</v>
      </c>
      <c r="N66" s="13">
        <v>15065</v>
      </c>
      <c r="O66" s="13">
        <v>15954</v>
      </c>
      <c r="P66" s="13">
        <v>51013</v>
      </c>
      <c r="Q66" s="13">
        <f t="shared" si="3"/>
        <v>199294</v>
      </c>
      <c r="R66" s="113"/>
      <c r="S66" s="23">
        <f t="shared" si="4"/>
        <v>0</v>
      </c>
    </row>
    <row r="67" spans="2:19" s="115" customFormat="1">
      <c r="B67">
        <v>61</v>
      </c>
      <c r="C67" s="132" t="s">
        <v>30</v>
      </c>
      <c r="D67" s="128">
        <f t="shared" si="2"/>
        <v>424047</v>
      </c>
      <c r="E67" s="279">
        <f>241+22040</f>
        <v>22281</v>
      </c>
      <c r="F67" s="279">
        <f>322+29233</f>
        <v>29555</v>
      </c>
      <c r="G67" s="279">
        <v>34841</v>
      </c>
      <c r="H67" s="279">
        <v>28520</v>
      </c>
      <c r="I67" s="279">
        <v>34187</v>
      </c>
      <c r="J67" s="280">
        <v>36438</v>
      </c>
      <c r="K67" s="280">
        <v>34248</v>
      </c>
      <c r="L67" s="279">
        <v>38465</v>
      </c>
      <c r="M67" s="13">
        <v>39597</v>
      </c>
      <c r="N67" s="13">
        <v>36627</v>
      </c>
      <c r="O67" s="13">
        <v>39289</v>
      </c>
      <c r="P67" s="13">
        <v>49999</v>
      </c>
      <c r="Q67" s="13">
        <f t="shared" si="3"/>
        <v>424047</v>
      </c>
      <c r="R67" s="113"/>
      <c r="S67" s="23">
        <f t="shared" si="4"/>
        <v>0</v>
      </c>
    </row>
    <row r="68" spans="2:19" s="115" customFormat="1">
      <c r="B68">
        <v>62</v>
      </c>
      <c r="C68" s="132" t="s">
        <v>232</v>
      </c>
      <c r="D68" s="128">
        <f>+Q68</f>
        <v>5453</v>
      </c>
      <c r="E68" s="279"/>
      <c r="F68" s="279"/>
      <c r="G68" s="279"/>
      <c r="H68" s="279"/>
      <c r="I68" s="279"/>
      <c r="J68" s="281"/>
      <c r="K68" s="281"/>
      <c r="L68" s="288"/>
      <c r="M68" s="14"/>
      <c r="N68" s="14"/>
      <c r="O68" s="14">
        <v>3207</v>
      </c>
      <c r="P68" s="13">
        <v>2246</v>
      </c>
      <c r="Q68" s="13">
        <f t="shared" si="3"/>
        <v>5453</v>
      </c>
      <c r="R68" s="113"/>
      <c r="S68" s="23"/>
    </row>
    <row r="69" spans="2:19" s="115" customFormat="1">
      <c r="B69">
        <v>63</v>
      </c>
      <c r="C69" s="129" t="s">
        <v>28</v>
      </c>
      <c r="D69" s="130">
        <f t="shared" si="2"/>
        <v>489933</v>
      </c>
      <c r="E69" s="279">
        <f>476+16179+1000</f>
        <v>17655</v>
      </c>
      <c r="F69" s="279">
        <f>597+24089</f>
        <v>24686</v>
      </c>
      <c r="G69" s="279">
        <v>36313</v>
      </c>
      <c r="H69" s="279">
        <v>27569</v>
      </c>
      <c r="I69" s="279">
        <v>38227</v>
      </c>
      <c r="J69" s="280">
        <v>29741</v>
      </c>
      <c r="K69" s="280">
        <v>33844</v>
      </c>
      <c r="L69" s="279">
        <v>30072</v>
      </c>
      <c r="M69" s="13">
        <v>32568</v>
      </c>
      <c r="N69" s="13">
        <v>33493</v>
      </c>
      <c r="O69" s="13">
        <v>32451</v>
      </c>
      <c r="P69" s="13">
        <v>153314</v>
      </c>
      <c r="Q69" s="13">
        <f t="shared" si="3"/>
        <v>489933</v>
      </c>
      <c r="R69" s="113"/>
      <c r="S69" s="23">
        <f t="shared" si="4"/>
        <v>0</v>
      </c>
    </row>
    <row r="70" spans="2:19" s="115" customFormat="1">
      <c r="B70">
        <v>64</v>
      </c>
      <c r="C70" s="132" t="s">
        <v>184</v>
      </c>
      <c r="D70" s="128">
        <f t="shared" si="2"/>
        <v>154936</v>
      </c>
      <c r="E70" s="279"/>
      <c r="F70" s="279"/>
      <c r="G70" s="279"/>
      <c r="H70" s="279"/>
      <c r="I70" s="279"/>
      <c r="J70" s="280">
        <v>5105</v>
      </c>
      <c r="K70" s="280">
        <v>18254</v>
      </c>
      <c r="L70" s="279">
        <v>18905</v>
      </c>
      <c r="M70" s="13">
        <v>18955</v>
      </c>
      <c r="N70" s="13">
        <v>27579</v>
      </c>
      <c r="O70" s="13">
        <v>26054</v>
      </c>
      <c r="P70" s="13">
        <v>40084</v>
      </c>
      <c r="Q70" s="13">
        <f t="shared" si="3"/>
        <v>154936</v>
      </c>
      <c r="R70" s="113"/>
      <c r="S70" s="23">
        <f t="shared" si="4"/>
        <v>0</v>
      </c>
    </row>
    <row r="71" spans="2:19" s="115" customFormat="1">
      <c r="B71">
        <v>65</v>
      </c>
      <c r="C71" s="129" t="s">
        <v>34</v>
      </c>
      <c r="D71" s="130">
        <f t="shared" si="2"/>
        <v>386535</v>
      </c>
      <c r="E71" s="279">
        <f>225+16021</f>
        <v>16246</v>
      </c>
      <c r="F71" s="279">
        <f>285+20929</f>
        <v>21214</v>
      </c>
      <c r="G71" s="279">
        <v>28297</v>
      </c>
      <c r="H71" s="279">
        <v>21928</v>
      </c>
      <c r="I71" s="279">
        <v>31295</v>
      </c>
      <c r="J71" s="289">
        <v>27541</v>
      </c>
      <c r="K71" s="289">
        <v>31327</v>
      </c>
      <c r="L71" s="290">
        <v>32347</v>
      </c>
      <c r="M71" s="13">
        <v>29880</v>
      </c>
      <c r="N71" s="13">
        <v>34597</v>
      </c>
      <c r="O71" s="13">
        <v>34241</v>
      </c>
      <c r="P71" s="13">
        <v>77622</v>
      </c>
      <c r="Q71" s="13">
        <f t="shared" si="3"/>
        <v>386535</v>
      </c>
      <c r="R71" s="113"/>
      <c r="S71" s="23">
        <f t="shared" si="4"/>
        <v>0</v>
      </c>
    </row>
    <row r="72" spans="2:19" s="115" customFormat="1">
      <c r="B72">
        <v>66</v>
      </c>
      <c r="C72" s="132" t="s">
        <v>29</v>
      </c>
      <c r="D72" s="128">
        <f t="shared" si="2"/>
        <v>479888</v>
      </c>
      <c r="E72" s="279">
        <f>270+13982</f>
        <v>14252</v>
      </c>
      <c r="F72" s="279">
        <f>392+21010</f>
        <v>21402</v>
      </c>
      <c r="G72" s="279">
        <v>28989</v>
      </c>
      <c r="H72" s="279">
        <v>23266</v>
      </c>
      <c r="I72" s="279">
        <v>30467</v>
      </c>
      <c r="J72" s="280">
        <v>32503</v>
      </c>
      <c r="K72" s="280">
        <v>36951</v>
      </c>
      <c r="L72" s="279">
        <v>42136</v>
      </c>
      <c r="M72" s="13">
        <v>39838</v>
      </c>
      <c r="N72" s="13">
        <v>40943</v>
      </c>
      <c r="O72" s="13">
        <v>40696</v>
      </c>
      <c r="P72" s="13">
        <v>128445</v>
      </c>
      <c r="Q72" s="13">
        <f t="shared" ref="Q72:Q90" si="6">SUM(E72:P72)</f>
        <v>479888</v>
      </c>
      <c r="R72" s="113"/>
      <c r="S72" s="23">
        <f t="shared" si="4"/>
        <v>0</v>
      </c>
    </row>
    <row r="73" spans="2:19" s="115" customFormat="1">
      <c r="B73">
        <v>67</v>
      </c>
      <c r="C73" s="129" t="s">
        <v>38</v>
      </c>
      <c r="D73" s="130">
        <f t="shared" si="2"/>
        <v>701352</v>
      </c>
      <c r="E73" s="279">
        <f>407+28559</f>
        <v>28966</v>
      </c>
      <c r="F73" s="279">
        <f>495+38853+600</f>
        <v>39948</v>
      </c>
      <c r="G73" s="279">
        <v>50731</v>
      </c>
      <c r="H73" s="279">
        <v>38612</v>
      </c>
      <c r="I73" s="279">
        <v>49477</v>
      </c>
      <c r="J73" s="280">
        <v>45114</v>
      </c>
      <c r="K73" s="280">
        <v>46458</v>
      </c>
      <c r="L73" s="279">
        <v>49101</v>
      </c>
      <c r="M73" s="13">
        <v>51740</v>
      </c>
      <c r="N73" s="13">
        <v>46675</v>
      </c>
      <c r="O73" s="13">
        <v>46800</v>
      </c>
      <c r="P73" s="13">
        <v>207730</v>
      </c>
      <c r="Q73" s="13">
        <f t="shared" si="6"/>
        <v>701352</v>
      </c>
      <c r="R73" s="113"/>
      <c r="S73" s="23">
        <f t="shared" ref="S73:S90" si="7">+Q73*R73</f>
        <v>0</v>
      </c>
    </row>
    <row r="74" spans="2:19" s="115" customFormat="1">
      <c r="B74">
        <v>68</v>
      </c>
      <c r="C74" s="132" t="s">
        <v>167</v>
      </c>
      <c r="D74" s="128">
        <f>Q74</f>
        <v>61974</v>
      </c>
      <c r="E74" s="279"/>
      <c r="F74" s="279">
        <f>259+1517</f>
        <v>1776</v>
      </c>
      <c r="G74" s="279">
        <v>21464</v>
      </c>
      <c r="H74" s="279">
        <v>12900</v>
      </c>
      <c r="I74" s="279">
        <v>740</v>
      </c>
      <c r="J74" s="280">
        <v>1602</v>
      </c>
      <c r="K74" s="280">
        <v>300</v>
      </c>
      <c r="L74" s="279">
        <v>220</v>
      </c>
      <c r="M74" s="13">
        <v>0</v>
      </c>
      <c r="N74" s="13">
        <v>9026</v>
      </c>
      <c r="O74" s="13">
        <v>12211</v>
      </c>
      <c r="P74" s="13">
        <v>1735</v>
      </c>
      <c r="Q74" s="13">
        <f t="shared" si="6"/>
        <v>61974</v>
      </c>
      <c r="R74" s="113"/>
      <c r="S74" s="23">
        <f t="shared" si="7"/>
        <v>0</v>
      </c>
    </row>
    <row r="75" spans="2:19" s="115" customFormat="1">
      <c r="B75">
        <v>69</v>
      </c>
      <c r="C75" s="129" t="s">
        <v>40</v>
      </c>
      <c r="D75" s="130">
        <f>+Q75</f>
        <v>574124</v>
      </c>
      <c r="E75" s="279">
        <f>448+19927</f>
        <v>20375</v>
      </c>
      <c r="F75" s="279">
        <f>608+35699+200</f>
        <v>36507</v>
      </c>
      <c r="G75" s="279">
        <v>43218</v>
      </c>
      <c r="H75" s="279">
        <v>33145</v>
      </c>
      <c r="I75" s="279">
        <v>41690</v>
      </c>
      <c r="J75" s="280">
        <v>47793</v>
      </c>
      <c r="K75" s="280">
        <v>50985</v>
      </c>
      <c r="L75" s="279">
        <v>51357</v>
      </c>
      <c r="M75" s="13">
        <v>49881</v>
      </c>
      <c r="N75" s="13">
        <v>55115</v>
      </c>
      <c r="O75" s="13">
        <v>66720</v>
      </c>
      <c r="P75" s="13">
        <v>77338</v>
      </c>
      <c r="Q75" s="13">
        <f t="shared" si="6"/>
        <v>574124</v>
      </c>
      <c r="R75" s="113"/>
      <c r="S75" s="23">
        <f t="shared" si="7"/>
        <v>0</v>
      </c>
    </row>
    <row r="76" spans="2:19" s="115" customFormat="1">
      <c r="B76">
        <v>70</v>
      </c>
      <c r="C76" s="132" t="s">
        <v>225</v>
      </c>
      <c r="D76" s="128">
        <f>+Q76</f>
        <v>200933</v>
      </c>
      <c r="E76" s="279"/>
      <c r="F76" s="279"/>
      <c r="G76" s="279"/>
      <c r="H76" s="279"/>
      <c r="I76" s="279"/>
      <c r="J76" s="280"/>
      <c r="K76" s="280"/>
      <c r="L76" s="279"/>
      <c r="M76" s="13">
        <v>32785</v>
      </c>
      <c r="N76" s="13">
        <v>80759</v>
      </c>
      <c r="O76" s="13">
        <v>78691</v>
      </c>
      <c r="P76" s="13">
        <v>8698</v>
      </c>
      <c r="Q76" s="13">
        <f t="shared" si="6"/>
        <v>200933</v>
      </c>
      <c r="R76" s="113"/>
      <c r="S76" s="23">
        <f t="shared" si="7"/>
        <v>0</v>
      </c>
    </row>
    <row r="77" spans="2:19" s="115" customFormat="1">
      <c r="B77">
        <v>71</v>
      </c>
      <c r="C77" s="132" t="s">
        <v>143</v>
      </c>
      <c r="D77" s="128">
        <f t="shared" si="2"/>
        <v>444759</v>
      </c>
      <c r="E77" s="279">
        <f>220+20369</f>
        <v>20589</v>
      </c>
      <c r="F77" s="279">
        <f>278+26967</f>
        <v>27245</v>
      </c>
      <c r="G77" s="279">
        <v>34569</v>
      </c>
      <c r="H77" s="279">
        <v>30370</v>
      </c>
      <c r="I77" s="279">
        <v>35919</v>
      </c>
      <c r="J77" s="280">
        <v>32869</v>
      </c>
      <c r="K77" s="280">
        <v>33510</v>
      </c>
      <c r="L77" s="279">
        <v>33050</v>
      </c>
      <c r="M77" s="13">
        <v>29645</v>
      </c>
      <c r="N77" s="13">
        <v>31640</v>
      </c>
      <c r="O77" s="13">
        <v>33719</v>
      </c>
      <c r="P77" s="13">
        <v>101634</v>
      </c>
      <c r="Q77" s="13">
        <f t="shared" si="6"/>
        <v>444759</v>
      </c>
      <c r="R77" s="113"/>
      <c r="S77" s="23">
        <f t="shared" si="7"/>
        <v>0</v>
      </c>
    </row>
    <row r="78" spans="2:19" s="115" customFormat="1">
      <c r="B78">
        <v>72</v>
      </c>
      <c r="C78" s="129" t="s">
        <v>31</v>
      </c>
      <c r="D78" s="130">
        <f t="shared" si="2"/>
        <v>539018</v>
      </c>
      <c r="E78" s="279">
        <f>363+19034</f>
        <v>19397</v>
      </c>
      <c r="F78" s="279">
        <f>484+26680</f>
        <v>27164</v>
      </c>
      <c r="G78" s="279">
        <v>33369</v>
      </c>
      <c r="H78" s="279">
        <v>27240</v>
      </c>
      <c r="I78" s="279">
        <v>34466</v>
      </c>
      <c r="J78" s="280">
        <v>35134</v>
      </c>
      <c r="K78" s="280">
        <v>39428</v>
      </c>
      <c r="L78" s="279">
        <v>39995</v>
      </c>
      <c r="M78" s="13">
        <v>42477</v>
      </c>
      <c r="N78" s="13">
        <v>42980</v>
      </c>
      <c r="O78" s="13">
        <v>42324</v>
      </c>
      <c r="P78" s="13">
        <v>155044</v>
      </c>
      <c r="Q78" s="13">
        <f t="shared" si="6"/>
        <v>539018</v>
      </c>
      <c r="R78" s="113"/>
      <c r="S78" s="23">
        <f t="shared" si="7"/>
        <v>0</v>
      </c>
    </row>
    <row r="79" spans="2:19" s="115" customFormat="1">
      <c r="B79">
        <v>73</v>
      </c>
      <c r="C79" s="132" t="s">
        <v>32</v>
      </c>
      <c r="D79" s="128">
        <f t="shared" si="2"/>
        <v>291466</v>
      </c>
      <c r="E79" s="279">
        <f>510+11663</f>
        <v>12173</v>
      </c>
      <c r="F79" s="279">
        <f>646+16064</f>
        <v>16710</v>
      </c>
      <c r="G79" s="279">
        <v>20199</v>
      </c>
      <c r="H79" s="279">
        <v>16392</v>
      </c>
      <c r="I79" s="279">
        <v>21680</v>
      </c>
      <c r="J79" s="280">
        <v>21117</v>
      </c>
      <c r="K79" s="280">
        <v>21126</v>
      </c>
      <c r="L79" s="279">
        <v>21932</v>
      </c>
      <c r="M79" s="13">
        <v>21707</v>
      </c>
      <c r="N79" s="13">
        <v>22824</v>
      </c>
      <c r="O79" s="13">
        <v>21569</v>
      </c>
      <c r="P79" s="13">
        <v>74037</v>
      </c>
      <c r="Q79" s="13">
        <f t="shared" si="6"/>
        <v>291466</v>
      </c>
      <c r="R79" s="113"/>
      <c r="S79" s="23">
        <f t="shared" si="7"/>
        <v>0</v>
      </c>
    </row>
    <row r="80" spans="2:19" s="115" customFormat="1">
      <c r="B80">
        <v>74</v>
      </c>
      <c r="C80" s="129" t="s">
        <v>33</v>
      </c>
      <c r="D80" s="130">
        <f t="shared" si="2"/>
        <v>494412</v>
      </c>
      <c r="E80" s="279">
        <f>343+23204</f>
        <v>23547</v>
      </c>
      <c r="F80" s="279">
        <f>415+31062+100</f>
        <v>31577</v>
      </c>
      <c r="G80" s="279">
        <v>41436</v>
      </c>
      <c r="H80" s="279">
        <v>30471</v>
      </c>
      <c r="I80" s="279">
        <v>37776</v>
      </c>
      <c r="J80" s="280">
        <v>35224</v>
      </c>
      <c r="K80" s="280">
        <v>36673</v>
      </c>
      <c r="L80" s="279">
        <v>38109</v>
      </c>
      <c r="M80" s="13">
        <v>36936</v>
      </c>
      <c r="N80" s="13">
        <v>38574</v>
      </c>
      <c r="O80" s="13">
        <v>34221</v>
      </c>
      <c r="P80" s="13">
        <v>109868</v>
      </c>
      <c r="Q80" s="13">
        <f t="shared" si="6"/>
        <v>494412</v>
      </c>
      <c r="R80" s="113"/>
      <c r="S80" s="23">
        <f t="shared" si="7"/>
        <v>0</v>
      </c>
    </row>
    <row r="81" spans="2:20" s="115" customFormat="1">
      <c r="B81">
        <v>75</v>
      </c>
      <c r="C81" s="132" t="s">
        <v>222</v>
      </c>
      <c r="D81" s="128">
        <f t="shared" si="2"/>
        <v>365964</v>
      </c>
      <c r="E81" s="279"/>
      <c r="F81" s="279"/>
      <c r="G81" s="279"/>
      <c r="H81" s="279"/>
      <c r="I81" s="279">
        <v>11935</v>
      </c>
      <c r="J81" s="280">
        <v>29906</v>
      </c>
      <c r="K81" s="280">
        <v>32747</v>
      </c>
      <c r="L81" s="279">
        <v>42670</v>
      </c>
      <c r="M81" s="13">
        <v>44108</v>
      </c>
      <c r="N81" s="13">
        <v>50260</v>
      </c>
      <c r="O81" s="13">
        <v>48859</v>
      </c>
      <c r="P81" s="13">
        <v>105479</v>
      </c>
      <c r="Q81" s="13">
        <f t="shared" si="6"/>
        <v>365964</v>
      </c>
      <c r="R81" s="113"/>
      <c r="S81" s="23">
        <f t="shared" si="7"/>
        <v>0</v>
      </c>
    </row>
    <row r="82" spans="2:20" s="115" customFormat="1">
      <c r="B82">
        <v>76</v>
      </c>
      <c r="C82" s="129" t="s">
        <v>148</v>
      </c>
      <c r="D82" s="130">
        <f t="shared" si="2"/>
        <v>341227</v>
      </c>
      <c r="E82" s="279">
        <f>300+18102</f>
        <v>18402</v>
      </c>
      <c r="F82" s="279">
        <f>380+24540</f>
        <v>24920</v>
      </c>
      <c r="G82" s="279">
        <v>30178</v>
      </c>
      <c r="H82" s="279">
        <v>23689</v>
      </c>
      <c r="I82" s="279">
        <v>29810</v>
      </c>
      <c r="J82" s="280">
        <v>28105</v>
      </c>
      <c r="K82" s="280">
        <v>28163</v>
      </c>
      <c r="L82" s="279">
        <v>28640</v>
      </c>
      <c r="M82" s="13">
        <v>28510</v>
      </c>
      <c r="N82" s="13">
        <v>30145</v>
      </c>
      <c r="O82" s="13">
        <v>29243</v>
      </c>
      <c r="P82" s="13">
        <v>41422</v>
      </c>
      <c r="Q82" s="13">
        <f t="shared" si="6"/>
        <v>341227</v>
      </c>
      <c r="R82" s="113"/>
      <c r="S82" s="23">
        <f t="shared" si="7"/>
        <v>0</v>
      </c>
    </row>
    <row r="83" spans="2:20" s="115" customFormat="1">
      <c r="B83">
        <v>77</v>
      </c>
      <c r="C83" s="132" t="s">
        <v>39</v>
      </c>
      <c r="D83" s="128">
        <f t="shared" si="2"/>
        <v>426933</v>
      </c>
      <c r="E83" s="279">
        <f>300+18014</f>
        <v>18314</v>
      </c>
      <c r="F83" s="279">
        <f>380+23881</f>
        <v>24261</v>
      </c>
      <c r="G83" s="279">
        <v>34402</v>
      </c>
      <c r="H83" s="279">
        <v>30275</v>
      </c>
      <c r="I83" s="279">
        <v>37606</v>
      </c>
      <c r="J83" s="280">
        <v>34320</v>
      </c>
      <c r="K83" s="280">
        <v>36039</v>
      </c>
      <c r="L83" s="279">
        <v>36373</v>
      </c>
      <c r="M83" s="13">
        <v>33458</v>
      </c>
      <c r="N83" s="13">
        <v>32279</v>
      </c>
      <c r="O83" s="13">
        <v>31481</v>
      </c>
      <c r="P83" s="13">
        <v>78125</v>
      </c>
      <c r="Q83" s="13">
        <f t="shared" si="6"/>
        <v>426933</v>
      </c>
      <c r="R83" s="113"/>
      <c r="S83" s="23">
        <f t="shared" si="7"/>
        <v>0</v>
      </c>
    </row>
    <row r="84" spans="2:20" s="115" customFormat="1">
      <c r="B84">
        <v>78</v>
      </c>
      <c r="C84" s="129" t="s">
        <v>36</v>
      </c>
      <c r="D84" s="130">
        <f t="shared" si="2"/>
        <v>230496</v>
      </c>
      <c r="E84" s="279">
        <f>470+8703</f>
        <v>9173</v>
      </c>
      <c r="F84" s="279">
        <f>666+10920+300</f>
        <v>11886</v>
      </c>
      <c r="G84" s="279">
        <v>13834</v>
      </c>
      <c r="H84" s="279">
        <v>10890</v>
      </c>
      <c r="I84" s="279">
        <v>15409</v>
      </c>
      <c r="J84" s="280">
        <v>11293</v>
      </c>
      <c r="K84" s="280">
        <v>12772</v>
      </c>
      <c r="L84" s="279">
        <v>14471</v>
      </c>
      <c r="M84" s="13">
        <v>13906</v>
      </c>
      <c r="N84" s="13">
        <v>15757</v>
      </c>
      <c r="O84" s="13">
        <v>12342</v>
      </c>
      <c r="P84" s="13">
        <v>88763</v>
      </c>
      <c r="Q84" s="13">
        <f t="shared" si="6"/>
        <v>230496</v>
      </c>
      <c r="R84" s="113"/>
      <c r="S84" s="23">
        <f t="shared" si="7"/>
        <v>0</v>
      </c>
    </row>
    <row r="85" spans="2:20" s="115" customFormat="1">
      <c r="B85">
        <v>79</v>
      </c>
      <c r="C85" s="132" t="s">
        <v>74</v>
      </c>
      <c r="D85" s="128">
        <f t="shared" si="2"/>
        <v>471229</v>
      </c>
      <c r="E85" s="279">
        <f>195+17667</f>
        <v>17862</v>
      </c>
      <c r="F85" s="279">
        <f>212+21748</f>
        <v>21960</v>
      </c>
      <c r="G85" s="279">
        <v>30306</v>
      </c>
      <c r="H85" s="279">
        <v>21627</v>
      </c>
      <c r="I85" s="279">
        <v>29304</v>
      </c>
      <c r="J85" s="280">
        <v>25986</v>
      </c>
      <c r="K85" s="280">
        <v>28420</v>
      </c>
      <c r="L85" s="279">
        <v>32231</v>
      </c>
      <c r="M85" s="13">
        <v>28578</v>
      </c>
      <c r="N85" s="13">
        <v>28902</v>
      </c>
      <c r="O85" s="13">
        <v>31527</v>
      </c>
      <c r="P85" s="13">
        <v>174526</v>
      </c>
      <c r="Q85" s="13">
        <f t="shared" si="6"/>
        <v>471229</v>
      </c>
      <c r="R85" s="113"/>
      <c r="S85" s="23">
        <f t="shared" si="7"/>
        <v>0</v>
      </c>
    </row>
    <row r="86" spans="2:20" s="115" customFormat="1">
      <c r="B86">
        <v>80</v>
      </c>
      <c r="C86" s="129" t="s">
        <v>37</v>
      </c>
      <c r="D86" s="130">
        <f t="shared" si="2"/>
        <v>527480</v>
      </c>
      <c r="E86" s="279">
        <f>495+23245</f>
        <v>23740</v>
      </c>
      <c r="F86" s="279">
        <f>627+30081</f>
        <v>30708</v>
      </c>
      <c r="G86" s="279">
        <v>38226</v>
      </c>
      <c r="H86" s="279">
        <v>30778</v>
      </c>
      <c r="I86" s="279">
        <v>42380</v>
      </c>
      <c r="J86" s="280">
        <v>37996</v>
      </c>
      <c r="K86" s="280">
        <v>39939</v>
      </c>
      <c r="L86" s="279">
        <v>45192</v>
      </c>
      <c r="M86" s="13">
        <v>42267</v>
      </c>
      <c r="N86" s="13">
        <v>48724</v>
      </c>
      <c r="O86" s="13">
        <v>48093</v>
      </c>
      <c r="P86" s="13">
        <v>99437</v>
      </c>
      <c r="Q86" s="13">
        <f t="shared" si="6"/>
        <v>527480</v>
      </c>
      <c r="R86" s="113"/>
      <c r="S86" s="23">
        <f t="shared" si="7"/>
        <v>0</v>
      </c>
    </row>
    <row r="87" spans="2:20" s="115" customFormat="1">
      <c r="B87">
        <v>81</v>
      </c>
      <c r="C87" s="132" t="s">
        <v>142</v>
      </c>
      <c r="D87" s="128">
        <f t="shared" si="2"/>
        <v>548520</v>
      </c>
      <c r="E87" s="279">
        <f>405+18992+900</f>
        <v>20297</v>
      </c>
      <c r="F87" s="279">
        <f>513+20290+1400</f>
        <v>22203</v>
      </c>
      <c r="G87" s="279">
        <v>31675</v>
      </c>
      <c r="H87" s="279">
        <v>25645</v>
      </c>
      <c r="I87" s="279">
        <v>38536</v>
      </c>
      <c r="J87" s="280">
        <v>36207</v>
      </c>
      <c r="K87" s="280">
        <v>36239</v>
      </c>
      <c r="L87" s="279">
        <v>40461</v>
      </c>
      <c r="M87" s="13">
        <v>42409</v>
      </c>
      <c r="N87" s="13">
        <v>42414</v>
      </c>
      <c r="O87" s="13">
        <v>39775</v>
      </c>
      <c r="P87" s="13">
        <v>172659</v>
      </c>
      <c r="Q87" s="13">
        <f t="shared" si="6"/>
        <v>548520</v>
      </c>
      <c r="R87" s="113"/>
      <c r="S87" s="23">
        <f t="shared" si="7"/>
        <v>0</v>
      </c>
    </row>
    <row r="88" spans="2:20" s="115" customFormat="1">
      <c r="B88">
        <v>82</v>
      </c>
      <c r="C88" s="129" t="s">
        <v>43</v>
      </c>
      <c r="D88" s="130">
        <f t="shared" si="2"/>
        <v>335626</v>
      </c>
      <c r="E88" s="279">
        <f>600+17937</f>
        <v>18537</v>
      </c>
      <c r="F88" s="279">
        <f>880+23457</f>
        <v>24337</v>
      </c>
      <c r="G88" s="279">
        <v>28556</v>
      </c>
      <c r="H88" s="279">
        <v>23615</v>
      </c>
      <c r="I88" s="279">
        <v>29495</v>
      </c>
      <c r="J88" s="281">
        <v>26797</v>
      </c>
      <c r="K88" s="281">
        <v>25795</v>
      </c>
      <c r="L88" s="288">
        <v>27405</v>
      </c>
      <c r="M88" s="13">
        <v>28041</v>
      </c>
      <c r="N88" s="13">
        <v>28892</v>
      </c>
      <c r="O88" s="13">
        <v>27239</v>
      </c>
      <c r="P88" s="13">
        <v>46917</v>
      </c>
      <c r="Q88" s="13">
        <f t="shared" si="6"/>
        <v>335626</v>
      </c>
      <c r="R88" s="113"/>
      <c r="S88" s="23">
        <f t="shared" si="7"/>
        <v>0</v>
      </c>
    </row>
    <row r="89" spans="2:20" s="115" customFormat="1">
      <c r="B89">
        <v>83</v>
      </c>
      <c r="C89" s="129" t="s">
        <v>224</v>
      </c>
      <c r="D89" s="130">
        <f>+Q89</f>
        <v>55678</v>
      </c>
      <c r="E89" s="279"/>
      <c r="F89" s="279"/>
      <c r="G89" s="279"/>
      <c r="H89" s="279"/>
      <c r="I89" s="279"/>
      <c r="J89" s="280"/>
      <c r="K89" s="280"/>
      <c r="L89" s="279"/>
      <c r="M89" s="13">
        <v>794</v>
      </c>
      <c r="N89" s="13">
        <v>14278</v>
      </c>
      <c r="O89" s="13">
        <v>17334</v>
      </c>
      <c r="P89" s="13">
        <v>23272</v>
      </c>
      <c r="Q89" s="13">
        <f t="shared" si="6"/>
        <v>55678</v>
      </c>
      <c r="R89" s="113"/>
      <c r="S89" s="23">
        <f t="shared" si="7"/>
        <v>0</v>
      </c>
    </row>
    <row r="90" spans="2:20" s="115" customFormat="1">
      <c r="B90">
        <v>84</v>
      </c>
      <c r="C90" s="132" t="s">
        <v>226</v>
      </c>
      <c r="D90" s="128">
        <f t="shared" si="2"/>
        <v>40181</v>
      </c>
      <c r="E90" s="279"/>
      <c r="F90" s="279"/>
      <c r="G90" s="279"/>
      <c r="H90" s="279"/>
      <c r="I90" s="279"/>
      <c r="J90" s="281"/>
      <c r="K90" s="281"/>
      <c r="L90" s="288"/>
      <c r="M90" s="13">
        <v>582</v>
      </c>
      <c r="N90" s="13">
        <v>13009</v>
      </c>
      <c r="O90" s="13">
        <v>13340</v>
      </c>
      <c r="P90" s="13">
        <v>13250</v>
      </c>
      <c r="Q90" s="13">
        <f t="shared" si="6"/>
        <v>40181</v>
      </c>
      <c r="R90" s="113"/>
      <c r="S90" s="23">
        <f t="shared" si="7"/>
        <v>0</v>
      </c>
    </row>
    <row r="91" spans="2:20" s="115" customFormat="1">
      <c r="B91"/>
      <c r="R91" s="113"/>
      <c r="S91" s="282"/>
    </row>
    <row r="92" spans="2:20" s="115" customFormat="1">
      <c r="B92"/>
      <c r="C92" s="132"/>
      <c r="D92" s="128"/>
      <c r="E92" s="279"/>
      <c r="F92" s="279"/>
      <c r="G92" s="279"/>
      <c r="H92" s="279"/>
      <c r="I92" s="279"/>
      <c r="J92" s="281"/>
      <c r="K92" s="281"/>
      <c r="L92" s="288"/>
      <c r="M92" s="14"/>
      <c r="N92" s="14"/>
      <c r="O92" s="14"/>
      <c r="P92" s="14"/>
      <c r="Q92" s="13"/>
      <c r="R92" s="113"/>
      <c r="S92" s="282"/>
    </row>
    <row r="93" spans="2:20" s="115" customFormat="1" ht="30">
      <c r="C93" s="129" t="s">
        <v>46</v>
      </c>
      <c r="D93" s="130">
        <f>SUM(D7:D92)</f>
        <v>41581015</v>
      </c>
      <c r="E93" s="279"/>
      <c r="F93" s="279"/>
      <c r="G93" s="279"/>
      <c r="H93" s="279"/>
      <c r="I93" s="279"/>
      <c r="J93" s="288"/>
      <c r="K93" s="279"/>
      <c r="L93" s="279"/>
      <c r="M93" s="288"/>
      <c r="N93" s="288"/>
      <c r="O93" s="288"/>
      <c r="P93" s="288"/>
      <c r="Q93" s="279"/>
      <c r="R93" s="113"/>
    </row>
    <row r="94" spans="2:20" ht="15.75" thickBot="1">
      <c r="C94" s="135" t="s">
        <v>47</v>
      </c>
      <c r="D94" s="136">
        <f>+D93+D5</f>
        <v>45307781</v>
      </c>
      <c r="E94" s="45">
        <f t="shared" ref="E94:M94" si="8">SUM(E7:E93)</f>
        <v>1455930</v>
      </c>
      <c r="F94" s="45">
        <f t="shared" si="8"/>
        <v>2078782</v>
      </c>
      <c r="G94" s="45">
        <f t="shared" si="8"/>
        <v>2718327</v>
      </c>
      <c r="H94" s="45">
        <f t="shared" si="8"/>
        <v>2178631</v>
      </c>
      <c r="I94" s="45">
        <f t="shared" si="8"/>
        <v>2729809</v>
      </c>
      <c r="J94" s="137">
        <f t="shared" si="8"/>
        <v>2571910</v>
      </c>
      <c r="K94" s="220">
        <f t="shared" si="8"/>
        <v>2722967</v>
      </c>
      <c r="L94" s="137">
        <f t="shared" si="8"/>
        <v>2822650</v>
      </c>
      <c r="M94" s="137">
        <f t="shared" si="8"/>
        <v>2787744</v>
      </c>
      <c r="N94" s="137">
        <f>SUM(N7:N93)</f>
        <v>3163582</v>
      </c>
      <c r="O94" s="137">
        <f>SUM(O7:O93)</f>
        <v>3211470</v>
      </c>
      <c r="P94" s="137">
        <f>SUM(P7:P93)</f>
        <v>13139213</v>
      </c>
      <c r="Q94" s="45">
        <f>SUM(E94:P94)</f>
        <v>41581015</v>
      </c>
      <c r="R94" s="27">
        <f>+'[5]BENEFICIARIO PR.TRIMESTRE'!$N$90</f>
        <v>2758099</v>
      </c>
      <c r="S94" s="23">
        <f>SUM(S5:S93)</f>
        <v>0</v>
      </c>
    </row>
    <row r="95" spans="2:20">
      <c r="C95" s="138"/>
      <c r="D95" s="139">
        <f>SUM(D7:D88)</f>
        <v>41485156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T95" s="23"/>
    </row>
    <row r="96" spans="2:20" ht="15.75" thickBot="1">
      <c r="D96" s="140"/>
      <c r="E96" s="283">
        <f>E5+E94</f>
        <v>1646818</v>
      </c>
      <c r="F96" s="283">
        <f>F5+F94</f>
        <v>2281241</v>
      </c>
      <c r="G96" s="283">
        <f>G5+G94</f>
        <v>2976678</v>
      </c>
      <c r="H96" s="283">
        <f>H94+H6</f>
        <v>2435122</v>
      </c>
      <c r="I96" s="283">
        <f>I5+I94</f>
        <v>2982900</v>
      </c>
      <c r="J96" s="283">
        <f>J94+J6</f>
        <v>2795506</v>
      </c>
      <c r="K96" s="284">
        <f>+K6+K94</f>
        <v>2943409</v>
      </c>
      <c r="L96" s="284">
        <f>+L94+L6</f>
        <v>3090367</v>
      </c>
      <c r="M96" s="141">
        <f>+M6+M94</f>
        <v>3048310</v>
      </c>
      <c r="N96" s="141">
        <f>N94+N6</f>
        <v>3487653</v>
      </c>
      <c r="O96" s="141">
        <f>+O94+O6</f>
        <v>3536165</v>
      </c>
      <c r="P96" s="141">
        <f>+P94+P6</f>
        <v>14083612</v>
      </c>
      <c r="Q96" s="15">
        <f>SUM(E96:P96)</f>
        <v>45307781</v>
      </c>
    </row>
    <row r="97" spans="3:24" ht="21" customHeight="1">
      <c r="C97" s="285"/>
      <c r="D97" s="113"/>
      <c r="E97" s="143">
        <v>76.23</v>
      </c>
      <c r="F97" s="143">
        <v>76.39</v>
      </c>
      <c r="G97" s="143">
        <v>71.05</v>
      </c>
      <c r="H97" s="143">
        <f>+H98/H96</f>
        <v>75.939603551690638</v>
      </c>
      <c r="I97" s="143">
        <v>68.33</v>
      </c>
      <c r="J97" s="113">
        <v>70.48</v>
      </c>
      <c r="K97" s="143">
        <v>66.680000000000007</v>
      </c>
      <c r="L97" s="143">
        <f>+'[4]BENEFICIARIO PR.TRIMESTRE'!$M$91</f>
        <v>66.05</v>
      </c>
      <c r="M97" s="143">
        <v>66.66</v>
      </c>
      <c r="N97" s="143">
        <v>78.31</v>
      </c>
      <c r="O97" s="143"/>
      <c r="P97" s="143"/>
      <c r="Q97" s="223"/>
      <c r="R97" s="27">
        <f>+E97+F97+G97+H97+I97+J97+L97+M97</f>
        <v>571.12960355169071</v>
      </c>
      <c r="S97" s="225"/>
      <c r="U97" s="145"/>
      <c r="V97" s="146"/>
      <c r="W97" s="147"/>
    </row>
    <row r="98" spans="3:24" ht="15.75">
      <c r="C98" s="285"/>
      <c r="D98" s="140"/>
      <c r="E98" s="148">
        <f>E97*E94</f>
        <v>110985543.90000001</v>
      </c>
      <c r="F98" s="149">
        <f>F94*F97</f>
        <v>158798156.97999999</v>
      </c>
      <c r="G98" s="149">
        <f>G94*G97</f>
        <v>193137133.34999999</v>
      </c>
      <c r="H98" s="150">
        <f>H94*84.88</f>
        <v>184922199.28</v>
      </c>
      <c r="I98" s="150">
        <f>I94*68.33</f>
        <v>186527848.97</v>
      </c>
      <c r="J98" s="151">
        <f>J94*J97</f>
        <v>181268216.80000001</v>
      </c>
      <c r="K98" s="150">
        <f>+K94*K97</f>
        <v>181567439.56000003</v>
      </c>
      <c r="L98" s="151">
        <f>+L94*L97</f>
        <v>186436032.5</v>
      </c>
      <c r="M98" s="151">
        <f>+M96*M97</f>
        <v>203200344.59999999</v>
      </c>
      <c r="N98" s="151">
        <f>+N94*N97</f>
        <v>247740106.42000002</v>
      </c>
      <c r="O98" s="151">
        <f>+O94*79.2</f>
        <v>254348424</v>
      </c>
      <c r="P98" s="151">
        <f>+P94*55.78</f>
        <v>732905301.13999999</v>
      </c>
      <c r="Q98" s="141">
        <f>SUM(E98:P98)</f>
        <v>2821836747.5</v>
      </c>
      <c r="R98" s="27">
        <f>571.13/9</f>
        <v>63.458888888888886</v>
      </c>
      <c r="S98" s="23"/>
      <c r="T98" s="23">
        <f>+P102+O102+N102</f>
        <v>1335921780.3800001</v>
      </c>
      <c r="U98" s="152"/>
      <c r="V98" s="153"/>
      <c r="W98" s="154"/>
    </row>
    <row r="99" spans="3:24">
      <c r="S99" s="224"/>
      <c r="U99" s="155"/>
      <c r="V99" s="156"/>
      <c r="W99" s="154"/>
    </row>
    <row r="100" spans="3:24" ht="15.75" thickBot="1">
      <c r="D100" s="222" t="s">
        <v>227</v>
      </c>
      <c r="E100" s="27">
        <f>65*50299+30*8265+45*12530+119794*76.23</f>
        <v>13213131.620000001</v>
      </c>
      <c r="F100" s="27">
        <f>49106*65+6495*30+11257*45+135601*76.39</f>
        <v>14251865.390000001</v>
      </c>
      <c r="G100" s="27">
        <f>186470*71.05+71881*58.1118098</f>
        <v>17425828.500233799</v>
      </c>
      <c r="H100" s="27">
        <f>186405*84.88+70086*59.60013412</f>
        <v>19999191.399934318</v>
      </c>
      <c r="I100" s="27">
        <f>178981*68.33+74110*58.37532047</f>
        <v>16555966.730031699</v>
      </c>
      <c r="J100" s="27">
        <f>154406*70.48+69190*58.1606446</f>
        <v>14906669.879874</v>
      </c>
      <c r="K100" s="27">
        <f>145783*66.68+74659*58.04966581</f>
        <v>14054740.439708792</v>
      </c>
      <c r="L100" s="24">
        <f>+'[4]BENEFICIARIO PR.TRIMESTRE'!$M$94</f>
        <v>17101600.650144398</v>
      </c>
      <c r="M100" s="27">
        <f>4168305+12590807.46</f>
        <v>16759112.460000001</v>
      </c>
      <c r="N100" s="27">
        <f>19294017.8+4519465</f>
        <v>23813482.800000001</v>
      </c>
      <c r="O100" s="27">
        <f>4131885+20055736.8</f>
        <v>24187621.800000001</v>
      </c>
      <c r="P100" s="27">
        <f>48124139.22+4802705</f>
        <v>52926844.219999999</v>
      </c>
      <c r="Q100" s="23">
        <f>SUM(E100:O100)</f>
        <v>192269211.66992706</v>
      </c>
      <c r="R100" s="27">
        <f>+O100+N100+M100+L100+K100+J100+I100+G100+F100+H100+E100</f>
        <v>192269211.66992703</v>
      </c>
      <c r="S100" s="208"/>
      <c r="U100" s="157"/>
      <c r="V100" s="158"/>
      <c r="W100" s="159"/>
    </row>
    <row r="101" spans="3:24">
      <c r="D101" t="s">
        <v>228</v>
      </c>
      <c r="E101" s="27">
        <f>1455930*76.23</f>
        <v>110985543.90000001</v>
      </c>
      <c r="F101" s="27">
        <f>F94*76.39</f>
        <v>158798156.97999999</v>
      </c>
      <c r="G101" s="27">
        <f>G94*71.05</f>
        <v>193137133.34999999</v>
      </c>
      <c r="H101" s="27">
        <f>H94*84.88</f>
        <v>184922199.28</v>
      </c>
      <c r="I101" s="160">
        <f>I98</f>
        <v>186527848.97</v>
      </c>
      <c r="J101" s="24">
        <f>J98</f>
        <v>181268216.80000001</v>
      </c>
      <c r="K101" s="24">
        <f>+K98</f>
        <v>181567439.56000003</v>
      </c>
      <c r="L101" s="24">
        <f>+'[4]BENEFICIARIO PR.TRIMESTRE'!$M$95</f>
        <v>186436032.5</v>
      </c>
      <c r="M101" s="27">
        <f>+M98</f>
        <v>203200344.59999999</v>
      </c>
      <c r="N101" s="27">
        <f>+N98</f>
        <v>247740106.42000002</v>
      </c>
      <c r="O101" s="27">
        <f>+O98</f>
        <v>254348424</v>
      </c>
      <c r="P101" s="27">
        <f>+P98</f>
        <v>732905301.13999999</v>
      </c>
      <c r="Q101" s="27">
        <f>SUM(E101:P101)</f>
        <v>2821836747.5</v>
      </c>
      <c r="R101" s="27">
        <f>+O101+N101+M101+L101+K101+J101+I101+H101+G101+F101+E101</f>
        <v>2088931446.3600001</v>
      </c>
      <c r="S101" s="27"/>
      <c r="T101" s="23"/>
    </row>
    <row r="102" spans="3:24" ht="15.75">
      <c r="D102" s="218" t="s">
        <v>58</v>
      </c>
      <c r="E102" s="162">
        <f t="shared" ref="E102:M102" si="9">SUM(E100:E101)</f>
        <v>124198675.52000001</v>
      </c>
      <c r="F102" s="163">
        <f t="shared" si="9"/>
        <v>173050022.37</v>
      </c>
      <c r="G102" s="163">
        <f t="shared" si="9"/>
        <v>210562961.85023379</v>
      </c>
      <c r="H102" s="162">
        <f>SUM(H100:H101)</f>
        <v>204921390.67993432</v>
      </c>
      <c r="I102" s="162">
        <f t="shared" si="9"/>
        <v>203083815.7000317</v>
      </c>
      <c r="J102" s="162">
        <f>SUM(J100:J101)</f>
        <v>196174886.679874</v>
      </c>
      <c r="K102" s="162">
        <f t="shared" si="9"/>
        <v>195622179.99970883</v>
      </c>
      <c r="L102" s="162">
        <f t="shared" si="9"/>
        <v>203537633.1501444</v>
      </c>
      <c r="M102" s="162">
        <f t="shared" si="9"/>
        <v>219959457.06</v>
      </c>
      <c r="N102" s="162">
        <f t="shared" ref="N102" si="10">SUM(N100:N101)</f>
        <v>271553589.22000003</v>
      </c>
      <c r="O102" s="162">
        <f>SUM(O100:O101)</f>
        <v>278536045.80000001</v>
      </c>
      <c r="P102" s="162">
        <f>SUM(P100:P101)</f>
        <v>785832145.36000001</v>
      </c>
      <c r="Q102" s="162">
        <f>SUM(E102:P102)</f>
        <v>3067032803.3899274</v>
      </c>
      <c r="R102" s="27">
        <f>SUM(R100:R101)</f>
        <v>2281200658.0299273</v>
      </c>
      <c r="S102" s="221"/>
      <c r="T102" s="85"/>
      <c r="U102" s="24"/>
    </row>
    <row r="103" spans="3:24">
      <c r="I103" s="164"/>
      <c r="J103" s="27"/>
      <c r="K103" s="24"/>
      <c r="M103" s="23">
        <f>+'[2]RELACION COCIDA 2022'!$N$73</f>
        <v>0</v>
      </c>
      <c r="S103" s="23"/>
    </row>
    <row r="104" spans="3:24" ht="28.5" customHeight="1">
      <c r="E104" s="42"/>
      <c r="F104" s="42"/>
      <c r="G104" s="42"/>
      <c r="H104" s="42"/>
      <c r="I104" s="56"/>
      <c r="J104" s="206"/>
      <c r="K104" s="206"/>
      <c r="L104" s="206"/>
      <c r="M104" s="206"/>
      <c r="N104" s="206"/>
      <c r="O104" s="206"/>
      <c r="P104" s="206"/>
      <c r="Q104" s="54"/>
      <c r="S104" s="226"/>
      <c r="U104" s="28"/>
      <c r="X104" s="24"/>
    </row>
    <row r="105" spans="3:24" ht="15.75" thickBot="1">
      <c r="E105" s="42"/>
      <c r="F105" s="42"/>
      <c r="G105" s="287" t="s">
        <v>223</v>
      </c>
      <c r="H105" s="42"/>
      <c r="I105" s="56"/>
      <c r="J105" s="215"/>
      <c r="K105" s="215"/>
      <c r="L105" s="207"/>
      <c r="M105" s="215"/>
      <c r="N105" s="215"/>
      <c r="O105" s="215"/>
      <c r="P105" s="215"/>
      <c r="Q105" s="42"/>
      <c r="X105" s="24"/>
    </row>
    <row r="106" spans="3:24" ht="15.75">
      <c r="C106" s="209"/>
      <c r="D106" s="210"/>
      <c r="E106" s="216"/>
      <c r="F106" s="42"/>
      <c r="G106" s="286">
        <f>+D94</f>
        <v>45307781</v>
      </c>
      <c r="H106" s="42"/>
      <c r="I106" s="56"/>
      <c r="J106" s="215"/>
      <c r="K106" s="219"/>
      <c r="L106" s="215"/>
      <c r="M106" s="215"/>
      <c r="N106" s="205"/>
      <c r="O106" s="205"/>
      <c r="P106" s="205"/>
      <c r="Q106" s="48"/>
      <c r="S106" s="161"/>
      <c r="X106" s="24"/>
    </row>
    <row r="107" spans="3:24">
      <c r="C107" s="211">
        <v>2020</v>
      </c>
      <c r="D107" s="212">
        <f>2754727+804004</f>
        <v>3558731</v>
      </c>
      <c r="E107" s="42"/>
      <c r="F107" s="42"/>
      <c r="G107" s="42"/>
      <c r="H107" s="42"/>
      <c r="I107" s="56"/>
      <c r="J107" s="215"/>
      <c r="K107" s="215"/>
      <c r="L107" s="215"/>
      <c r="M107" s="215"/>
      <c r="N107" s="165"/>
      <c r="O107" s="165"/>
      <c r="P107" s="165"/>
      <c r="Q107" s="42"/>
      <c r="R107" s="23"/>
      <c r="S107" s="23"/>
    </row>
    <row r="108" spans="3:24">
      <c r="C108" s="211">
        <v>2021</v>
      </c>
      <c r="D108" s="212">
        <f>13673247+2036635</f>
        <v>15709882</v>
      </c>
      <c r="E108" s="42"/>
      <c r="F108" s="42"/>
      <c r="G108" s="42"/>
      <c r="H108" s="42"/>
      <c r="I108" s="56"/>
      <c r="J108" s="215"/>
      <c r="K108" s="215"/>
      <c r="L108" s="215"/>
      <c r="M108" s="215"/>
      <c r="N108" s="207"/>
      <c r="O108" s="207"/>
      <c r="P108" s="207"/>
      <c r="Q108" s="42"/>
    </row>
    <row r="109" spans="3:24">
      <c r="C109" s="211">
        <v>2022</v>
      </c>
      <c r="D109" s="212">
        <f>31620972+3655160</f>
        <v>35276132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3:24">
      <c r="C110" s="211">
        <v>2023</v>
      </c>
      <c r="D110" s="212">
        <f>+D94</f>
        <v>45307781</v>
      </c>
    </row>
    <row r="111" spans="3:24">
      <c r="C111" s="211"/>
      <c r="D111" s="217">
        <f>SUM(D107:D110)</f>
        <v>99852526</v>
      </c>
    </row>
    <row r="112" spans="3:24" ht="15.75" thickBot="1">
      <c r="C112" s="213"/>
      <c r="D112" s="214"/>
    </row>
    <row r="113" spans="5:5">
      <c r="E113">
        <f>+'COCIDA 2020'!Q62</f>
        <v>235745442.58999997</v>
      </c>
    </row>
    <row r="114" spans="5:5">
      <c r="E114" s="23">
        <f>+'COCIDA 2021'!Q61</f>
        <v>995506007.25999999</v>
      </c>
    </row>
    <row r="115" spans="5:5">
      <c r="E115" s="23" t="e">
        <f>+#REF!</f>
        <v>#REF!</v>
      </c>
    </row>
    <row r="116" spans="5:5">
      <c r="E116" s="23">
        <f>+Q102</f>
        <v>3067032803.3899274</v>
      </c>
    </row>
    <row r="117" spans="5:5">
      <c r="E117" s="27" t="e">
        <f>SUM(E113:E116)</f>
        <v>#REF!</v>
      </c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4"/>
  <sheetViews>
    <sheetView topLeftCell="A7" workbookViewId="0">
      <selection activeCell="K14" sqref="K14"/>
    </sheetView>
  </sheetViews>
  <sheetFormatPr baseColWidth="10" defaultRowHeight="15"/>
  <cols>
    <col min="1" max="1" width="4" customWidth="1"/>
    <col min="2" max="2" width="33.28515625" customWidth="1"/>
    <col min="3" max="3" width="17.42578125" customWidth="1"/>
    <col min="4" max="4" width="18.140625" customWidth="1"/>
    <col min="5" max="5" width="19.42578125" customWidth="1"/>
    <col min="6" max="6" width="18.42578125" customWidth="1"/>
    <col min="7" max="7" width="21.140625" customWidth="1"/>
    <col min="8" max="8" width="18.42578125" customWidth="1"/>
    <col min="9" max="9" width="16.5703125" customWidth="1"/>
    <col min="10" max="10" width="15.28515625" customWidth="1"/>
    <col min="11" max="11" width="16.42578125" bestFit="1" customWidth="1"/>
  </cols>
  <sheetData>
    <row r="8" spans="2:11" ht="14.25" customHeight="1"/>
    <row r="9" spans="2:11" ht="14.25" customHeight="1"/>
    <row r="10" spans="2:11" s="168" customFormat="1" ht="15.75" customHeight="1">
      <c r="B10" s="314" t="s">
        <v>168</v>
      </c>
      <c r="C10" s="314"/>
      <c r="D10" s="314"/>
      <c r="E10" s="314"/>
      <c r="F10" s="314"/>
      <c r="G10" s="314"/>
      <c r="H10" s="314"/>
    </row>
    <row r="11" spans="2:11">
      <c r="B11" s="315" t="s">
        <v>169</v>
      </c>
      <c r="C11" s="315"/>
      <c r="D11" s="315"/>
      <c r="E11" s="315"/>
      <c r="F11" s="315"/>
      <c r="G11" s="315"/>
      <c r="H11" s="315"/>
    </row>
    <row r="12" spans="2:11" ht="15.75" thickBot="1"/>
    <row r="13" spans="2:11" ht="72.75" customHeight="1" thickBot="1">
      <c r="B13" s="169" t="s">
        <v>170</v>
      </c>
      <c r="C13" s="170" t="s">
        <v>171</v>
      </c>
      <c r="D13" s="170" t="s">
        <v>172</v>
      </c>
      <c r="E13" s="171" t="s">
        <v>173</v>
      </c>
      <c r="F13" s="172" t="s">
        <v>174</v>
      </c>
      <c r="G13" s="173" t="s">
        <v>175</v>
      </c>
      <c r="H13" s="174" t="s">
        <v>176</v>
      </c>
    </row>
    <row r="14" spans="2:11" ht="33" customHeight="1">
      <c r="B14" s="175" t="s">
        <v>153</v>
      </c>
      <c r="C14" s="176"/>
      <c r="D14" s="177"/>
      <c r="E14" s="114">
        <v>18354</v>
      </c>
      <c r="F14" s="178">
        <v>11442601.800000001</v>
      </c>
      <c r="G14" s="26">
        <f>400+10957+3400+200</f>
        <v>14957</v>
      </c>
      <c r="H14" s="179">
        <f>318648+8728565.34+2708508+227372</f>
        <v>11983093.34</v>
      </c>
    </row>
    <row r="15" spans="2:11" ht="18.75" customHeight="1">
      <c r="B15" s="180" t="s">
        <v>177</v>
      </c>
      <c r="C15" s="176">
        <v>70450</v>
      </c>
      <c r="D15" s="181">
        <v>47573699.25</v>
      </c>
      <c r="E15" s="182">
        <v>42417</v>
      </c>
      <c r="F15" s="183">
        <v>39524024.780000001</v>
      </c>
      <c r="G15" s="182">
        <v>53983</v>
      </c>
      <c r="H15" s="184">
        <v>41643336.859999999</v>
      </c>
    </row>
    <row r="16" spans="2:11" ht="26.25" customHeight="1">
      <c r="B16" s="180" t="s">
        <v>178</v>
      </c>
      <c r="C16" s="176">
        <v>20601294</v>
      </c>
      <c r="D16" s="181">
        <v>868798423.90999997</v>
      </c>
      <c r="E16" s="182">
        <v>10416986</v>
      </c>
      <c r="F16" s="185">
        <v>886527824.19000006</v>
      </c>
      <c r="G16" s="182">
        <v>5486668</v>
      </c>
      <c r="H16" s="184">
        <v>348964250.93000001</v>
      </c>
      <c r="I16" s="186"/>
      <c r="J16" s="186"/>
      <c r="K16" s="186"/>
    </row>
    <row r="17" spans="2:11" ht="16.5" thickBot="1">
      <c r="B17" s="187" t="s">
        <v>179</v>
      </c>
      <c r="C17" s="188">
        <f>SUM(C15:C16)</f>
        <v>20671744</v>
      </c>
      <c r="D17" s="189">
        <f>SUM(D15:D16)</f>
        <v>916372123.15999997</v>
      </c>
      <c r="E17" s="190">
        <f>SUM(E14:E16)</f>
        <v>10477757</v>
      </c>
      <c r="F17" s="191">
        <f>SUM(F14:F16)</f>
        <v>937494450.7700001</v>
      </c>
      <c r="G17" s="192">
        <f>SUM(G14:G16)</f>
        <v>5555608</v>
      </c>
      <c r="H17" s="193">
        <f>SUM(H14:H16)</f>
        <v>402590681.13</v>
      </c>
      <c r="I17" s="194"/>
      <c r="J17" s="194"/>
      <c r="K17" s="186"/>
    </row>
    <row r="18" spans="2:11" s="42" customFormat="1">
      <c r="B18" s="195"/>
      <c r="C18" s="196"/>
      <c r="D18" s="197"/>
      <c r="E18" s="198"/>
      <c r="F18" s="199"/>
      <c r="I18" s="200"/>
      <c r="J18" s="200"/>
      <c r="K18" s="200"/>
    </row>
    <row r="19" spans="2:11" ht="15.75">
      <c r="E19" s="27"/>
      <c r="F19" s="201"/>
      <c r="G19" s="202"/>
      <c r="H19" s="203"/>
      <c r="I19" s="186"/>
      <c r="J19" s="186"/>
      <c r="K19" s="186"/>
    </row>
    <row r="20" spans="2:11">
      <c r="G20" s="25"/>
      <c r="H20" s="204"/>
    </row>
    <row r="21" spans="2:11">
      <c r="G21" s="25"/>
      <c r="J21" s="23"/>
    </row>
    <row r="24" spans="2:11">
      <c r="I24" s="23"/>
    </row>
  </sheetData>
  <mergeCells count="2">
    <mergeCell ref="B10:H10"/>
    <mergeCell ref="B11:H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51"/>
  <sheetViews>
    <sheetView topLeftCell="A31" workbookViewId="0">
      <selection activeCell="D52" sqref="D52"/>
    </sheetView>
  </sheetViews>
  <sheetFormatPr baseColWidth="10" defaultRowHeight="15"/>
  <cols>
    <col min="4" max="4" width="31.140625" customWidth="1"/>
  </cols>
  <sheetData>
    <row r="6" spans="3:4" ht="15.75">
      <c r="D6" s="256">
        <v>2021</v>
      </c>
    </row>
    <row r="7" spans="3:4">
      <c r="C7" s="218">
        <v>1</v>
      </c>
      <c r="D7" s="255" t="s">
        <v>209</v>
      </c>
    </row>
    <row r="8" spans="3:4">
      <c r="C8" s="218">
        <v>2</v>
      </c>
      <c r="D8" s="255" t="s">
        <v>210</v>
      </c>
    </row>
    <row r="9" spans="3:4">
      <c r="C9" s="218">
        <v>3</v>
      </c>
      <c r="D9" s="255" t="s">
        <v>211</v>
      </c>
    </row>
    <row r="10" spans="3:4">
      <c r="C10" s="218">
        <v>4</v>
      </c>
      <c r="D10" s="218" t="s">
        <v>212</v>
      </c>
    </row>
    <row r="11" spans="3:4">
      <c r="C11" s="218">
        <v>5</v>
      </c>
      <c r="D11" s="218" t="s">
        <v>213</v>
      </c>
    </row>
    <row r="12" spans="3:4">
      <c r="C12" s="218">
        <v>6</v>
      </c>
      <c r="D12" s="218" t="s">
        <v>214</v>
      </c>
    </row>
    <row r="14" spans="3:4" ht="15.75">
      <c r="D14" s="256">
        <v>2022</v>
      </c>
    </row>
    <row r="15" spans="3:4" ht="15.75">
      <c r="C15" s="218">
        <v>7</v>
      </c>
      <c r="D15" s="269" t="s">
        <v>75</v>
      </c>
    </row>
    <row r="16" spans="3:4">
      <c r="C16" s="218">
        <v>8</v>
      </c>
      <c r="D16" s="270" t="s">
        <v>156</v>
      </c>
    </row>
    <row r="17" spans="3:4">
      <c r="C17" s="218">
        <v>9</v>
      </c>
      <c r="D17" s="270" t="s">
        <v>70</v>
      </c>
    </row>
    <row r="18" spans="3:4">
      <c r="C18" s="218">
        <v>10</v>
      </c>
      <c r="D18" s="270" t="s">
        <v>141</v>
      </c>
    </row>
    <row r="19" spans="3:4">
      <c r="C19" s="218">
        <v>11</v>
      </c>
      <c r="D19" s="270" t="s">
        <v>157</v>
      </c>
    </row>
    <row r="20" spans="3:4">
      <c r="C20" s="218">
        <v>12</v>
      </c>
      <c r="D20" s="270" t="s">
        <v>144</v>
      </c>
    </row>
    <row r="21" spans="3:4">
      <c r="C21" s="218">
        <v>13</v>
      </c>
      <c r="D21" s="270" t="s">
        <v>145</v>
      </c>
    </row>
    <row r="22" spans="3:4">
      <c r="C22" s="218">
        <v>14</v>
      </c>
      <c r="D22" s="270" t="s">
        <v>62</v>
      </c>
    </row>
    <row r="23" spans="3:4">
      <c r="C23" s="218">
        <v>15</v>
      </c>
      <c r="D23" s="270" t="s">
        <v>64</v>
      </c>
    </row>
    <row r="24" spans="3:4">
      <c r="C24" s="218">
        <v>16</v>
      </c>
      <c r="D24" s="270" t="s">
        <v>162</v>
      </c>
    </row>
    <row r="25" spans="3:4" ht="13.5" customHeight="1">
      <c r="C25" s="218">
        <v>17</v>
      </c>
      <c r="D25" s="270" t="s">
        <v>146</v>
      </c>
    </row>
    <row r="26" spans="3:4">
      <c r="C26" s="218">
        <v>18</v>
      </c>
      <c r="D26" s="270" t="s">
        <v>65</v>
      </c>
    </row>
    <row r="27" spans="3:4">
      <c r="C27" s="218">
        <v>19</v>
      </c>
      <c r="D27" s="270" t="s">
        <v>63</v>
      </c>
    </row>
    <row r="28" spans="3:4" ht="15.75">
      <c r="C28" s="218">
        <v>20</v>
      </c>
      <c r="D28" s="271" t="s">
        <v>143</v>
      </c>
    </row>
    <row r="30" spans="3:4" ht="15.75">
      <c r="D30" s="256">
        <v>2023</v>
      </c>
    </row>
    <row r="31" spans="3:4">
      <c r="C31" s="218">
        <v>21</v>
      </c>
      <c r="D31" s="218" t="s">
        <v>185</v>
      </c>
    </row>
    <row r="32" spans="3:4">
      <c r="C32" s="218">
        <v>22</v>
      </c>
      <c r="D32" s="218" t="s">
        <v>156</v>
      </c>
    </row>
    <row r="33" spans="3:4">
      <c r="C33" s="218">
        <v>23</v>
      </c>
      <c r="D33" s="218" t="s">
        <v>180</v>
      </c>
    </row>
    <row r="34" spans="3:4">
      <c r="C34" s="218">
        <v>24</v>
      </c>
      <c r="D34" s="218" t="s">
        <v>181</v>
      </c>
    </row>
    <row r="35" spans="3:4">
      <c r="C35" s="218">
        <v>25</v>
      </c>
      <c r="D35" s="218" t="s">
        <v>155</v>
      </c>
    </row>
    <row r="36" spans="3:4">
      <c r="C36" s="218">
        <v>26</v>
      </c>
      <c r="D36" s="218" t="s">
        <v>160</v>
      </c>
    </row>
    <row r="37" spans="3:4">
      <c r="C37" s="218">
        <v>27</v>
      </c>
      <c r="D37" s="218" t="s">
        <v>186</v>
      </c>
    </row>
    <row r="38" spans="3:4">
      <c r="C38" s="218">
        <v>28</v>
      </c>
      <c r="D38" s="218" t="s">
        <v>161</v>
      </c>
    </row>
    <row r="39" spans="3:4">
      <c r="C39" s="218">
        <v>29</v>
      </c>
      <c r="D39" s="218" t="s">
        <v>163</v>
      </c>
    </row>
    <row r="40" spans="3:4">
      <c r="C40" s="218">
        <v>30</v>
      </c>
      <c r="D40" s="218" t="s">
        <v>164</v>
      </c>
    </row>
    <row r="41" spans="3:4">
      <c r="C41" s="218">
        <v>31</v>
      </c>
      <c r="D41" s="218" t="s">
        <v>165</v>
      </c>
    </row>
    <row r="42" spans="3:4">
      <c r="C42" s="218">
        <v>32</v>
      </c>
      <c r="D42" s="218" t="s">
        <v>154</v>
      </c>
    </row>
    <row r="43" spans="3:4">
      <c r="C43" s="218">
        <v>33</v>
      </c>
      <c r="D43" s="218" t="s">
        <v>182</v>
      </c>
    </row>
    <row r="44" spans="3:4" ht="14.25" customHeight="1">
      <c r="C44" s="218">
        <v>34</v>
      </c>
      <c r="D44" s="218" t="s">
        <v>146</v>
      </c>
    </row>
    <row r="45" spans="3:4">
      <c r="C45" s="218">
        <v>35</v>
      </c>
      <c r="D45" s="218" t="s">
        <v>166</v>
      </c>
    </row>
    <row r="46" spans="3:4">
      <c r="C46" s="218">
        <v>36</v>
      </c>
      <c r="D46" s="218" t="s">
        <v>184</v>
      </c>
    </row>
    <row r="47" spans="3:4">
      <c r="C47" s="218">
        <v>37</v>
      </c>
      <c r="D47" s="218" t="s">
        <v>167</v>
      </c>
    </row>
    <row r="48" spans="3:4">
      <c r="C48" s="218">
        <v>38</v>
      </c>
      <c r="D48" s="218" t="s">
        <v>183</v>
      </c>
    </row>
    <row r="49" spans="3:4">
      <c r="C49" s="218">
        <v>39</v>
      </c>
      <c r="D49" s="268" t="s">
        <v>218</v>
      </c>
    </row>
    <row r="50" spans="3:4">
      <c r="D50" s="291" t="s">
        <v>231</v>
      </c>
    </row>
    <row r="51" spans="3:4">
      <c r="D51" s="291" t="s">
        <v>230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COCIDA 2020</vt:lpstr>
      <vt:lpstr>COCIDA 2021</vt:lpstr>
      <vt:lpstr>COCIDA 2022</vt:lpstr>
      <vt:lpstr>COCIDAS 2023 </vt:lpstr>
      <vt:lpstr>CRUDAS </vt:lpstr>
      <vt:lpstr>Comedores Nuevo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Planificacion 6</cp:lastModifiedBy>
  <cp:lastPrinted>2023-11-17T16:17:45Z</cp:lastPrinted>
  <dcterms:created xsi:type="dcterms:W3CDTF">2022-06-07T13:05:07Z</dcterms:created>
  <dcterms:modified xsi:type="dcterms:W3CDTF">2024-01-19T13:06:29Z</dcterms:modified>
</cp:coreProperties>
</file>