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omments2.xml" ContentType="application/vnd.openxmlformats-officedocument.spreadsheetml.comments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omments3.xml" ContentType="application/vnd.openxmlformats-officedocument.spreadsheetml.comments+xml"/>
  <Override PartName="/xl/drawings/drawing52.xml" ContentType="application/vnd.openxmlformats-officedocument.drawing+xml"/>
  <Override PartName="/xl/comments4.xml" ContentType="application/vnd.openxmlformats-officedocument.spreadsheetml.comments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producion diarias\2022\"/>
    </mc:Choice>
  </mc:AlternateContent>
  <bookViews>
    <workbookView xWindow="0" yWindow="0" windowWidth="16308" windowHeight="4956" tabRatio="910" firstSheet="52" activeTab="56"/>
  </bookViews>
  <sheets>
    <sheet name="ADM 1" sheetId="54" r:id="rId1"/>
    <sheet name="ADM 2" sheetId="4" r:id="rId2"/>
    <sheet name="LOS MINA" sheetId="10" r:id="rId3"/>
    <sheet name="LA VILLA" sheetId="13" r:id="rId4"/>
    <sheet name="LOS ALCARRIZOS" sheetId="12" r:id="rId5"/>
    <sheet name="LAS CAOBAS" sheetId="11" r:id="rId6"/>
    <sheet name="AZUA" sheetId="5" r:id="rId7"/>
    <sheet name="BARAHONA" sheetId="6" r:id="rId8"/>
    <sheet name="BAYAGUANA" sheetId="20" r:id="rId9"/>
    <sheet name="BATEY 6" sheetId="52" r:id="rId10"/>
    <sheet name="BOYA" sheetId="32" r:id="rId11"/>
    <sheet name="BOCA CACHON" sheetId="49" r:id="rId12"/>
    <sheet name="CRISTO REY" sheetId="18" r:id="rId13"/>
    <sheet name="CONSTANZA" sheetId="19" r:id="rId14"/>
    <sheet name="CRISTOBAL" sheetId="46" r:id="rId15"/>
    <sheet name="DAJABON" sheetId="7" r:id="rId16"/>
    <sheet name="EL SEYBO" sheetId="17" r:id="rId17"/>
    <sheet name="ELIAS PIÑA" sheetId="16" r:id="rId18"/>
    <sheet name="LA VEGA" sheetId="14" r:id="rId19"/>
    <sheet name="MAO" sheetId="40" r:id="rId20"/>
    <sheet name="LA ROMANA" sheetId="15" r:id="rId21"/>
    <sheet name="MONTE PLATA" sheetId="39" r:id="rId22"/>
    <sheet name="MANZANILLO" sheetId="23" r:id="rId23"/>
    <sheet name="MONTECRISTI" sheetId="38" r:id="rId24"/>
    <sheet name="NAGUA" sheetId="37" r:id="rId25"/>
    <sheet name="NAVARRETE" sheetId="36" r:id="rId26"/>
    <sheet name="OCOA" sheetId="29" r:id="rId27"/>
    <sheet name="NEYBA" sheetId="43" r:id="rId28"/>
    <sheet name="PEDERNALES" sheetId="35" r:id="rId29"/>
    <sheet name="PEKIN" sheetId="27" r:id="rId30"/>
    <sheet name="PLATANITOS" sheetId="26" r:id="rId31"/>
    <sheet name="QUISQUEYA" sheetId="33" r:id="rId32"/>
    <sheet name="PUERTO PLATA" sheetId="34" r:id="rId33"/>
    <sheet name="SAMANA" sheetId="31" r:id="rId34"/>
    <sheet name="SAN CRISTOBAL" sheetId="30" r:id="rId35"/>
    <sheet name="SAN FCO" sheetId="41" r:id="rId36"/>
    <sheet name="SAN JUAN" sheetId="28" r:id="rId37"/>
    <sheet name="SAN PEDRO" sheetId="42" r:id="rId38"/>
    <sheet name="SANTIAGO RDGUEZ" sheetId="55" r:id="rId39"/>
    <sheet name="VILLA GONZALEZ" sheetId="50" r:id="rId40"/>
    <sheet name="MOCA" sheetId="57" r:id="rId41"/>
    <sheet name="VILLA LIBERACION" sheetId="58" r:id="rId42"/>
    <sheet name="BONAO" sheetId="60" r:id="rId43"/>
    <sheet name="GALVAN" sheetId="62" r:id="rId44"/>
    <sheet name="BOHECHIO" sheetId="59" r:id="rId45"/>
    <sheet name="PARAISO" sheetId="66" r:id="rId46"/>
    <sheet name="ARROYO CANO" sheetId="67" r:id="rId47"/>
    <sheet name="POSTRER RIO" sheetId="63" r:id="rId48"/>
    <sheet name="EL YAQUE" sheetId="65" r:id="rId49"/>
    <sheet name="ENRIQUILLO" sheetId="68" r:id="rId50"/>
    <sheet name="HATO MAYOR" sheetId="70" r:id="rId51"/>
    <sheet name="LOTERIA NAC." sheetId="71" r:id="rId52"/>
    <sheet name="UASD" sheetId="73" r:id="rId53"/>
    <sheet name="HIGUEY" sheetId="74" r:id="rId54"/>
    <sheet name="PRODUCCION TOTAL" sheetId="44" r:id="rId55"/>
    <sheet name="PRODUCCION TOTAL X COMEDOR" sheetId="9" r:id="rId56"/>
    <sheet name="PROD X COMEDOR DETALLADO" sheetId="64" r:id="rId57"/>
    <sheet name="Hoja1" sheetId="75" r:id="rId58"/>
  </sheets>
  <externalReferences>
    <externalReference r:id="rId59"/>
  </externalReferences>
  <definedNames>
    <definedName name="_xlnm.Print_Area" localSheetId="56">'PROD X COMEDOR DETALLADO'!$B$106:$H$190</definedName>
  </definedNames>
  <calcPr calcId="152511"/>
</workbook>
</file>

<file path=xl/calcChain.xml><?xml version="1.0" encoding="utf-8"?>
<calcChain xmlns="http://schemas.openxmlformats.org/spreadsheetml/2006/main">
  <c r="C83" i="75" l="1"/>
  <c r="E81" i="75"/>
  <c r="C81" i="75"/>
  <c r="F81" i="75" s="1"/>
  <c r="F80" i="75"/>
  <c r="E80" i="75"/>
  <c r="C80" i="75"/>
  <c r="E79" i="75"/>
  <c r="F79" i="75" s="1"/>
  <c r="C79" i="75"/>
  <c r="E78" i="75"/>
  <c r="C78" i="75"/>
  <c r="F78" i="75" s="1"/>
  <c r="E77" i="75"/>
  <c r="C77" i="75"/>
  <c r="F77" i="75" s="1"/>
  <c r="F76" i="75"/>
  <c r="E76" i="75"/>
  <c r="C76" i="75"/>
  <c r="E75" i="75"/>
  <c r="F75" i="75" s="1"/>
  <c r="C75" i="75"/>
  <c r="E74" i="75"/>
  <c r="C74" i="75"/>
  <c r="F74" i="75" s="1"/>
  <c r="E73" i="75"/>
  <c r="C73" i="75"/>
  <c r="F73" i="75" s="1"/>
  <c r="F72" i="75"/>
  <c r="E72" i="75"/>
  <c r="C72" i="75"/>
  <c r="E71" i="75"/>
  <c r="F71" i="75" s="1"/>
  <c r="C71" i="75"/>
  <c r="E70" i="75"/>
  <c r="C70" i="75"/>
  <c r="F70" i="75" s="1"/>
  <c r="E69" i="75"/>
  <c r="C69" i="75"/>
  <c r="F69" i="75" s="1"/>
  <c r="F68" i="75"/>
  <c r="E68" i="75"/>
  <c r="C68" i="75"/>
  <c r="E67" i="75"/>
  <c r="F67" i="75" s="1"/>
  <c r="C67" i="75"/>
  <c r="E66" i="75"/>
  <c r="C66" i="75"/>
  <c r="F66" i="75" s="1"/>
  <c r="E65" i="75"/>
  <c r="C65" i="75"/>
  <c r="F65" i="75" s="1"/>
  <c r="F64" i="75"/>
  <c r="E64" i="75"/>
  <c r="C64" i="75"/>
  <c r="E63" i="75"/>
  <c r="F63" i="75" s="1"/>
  <c r="C63" i="75"/>
  <c r="E62" i="75"/>
  <c r="C62" i="75"/>
  <c r="F62" i="75" s="1"/>
  <c r="E61" i="75"/>
  <c r="C61" i="75"/>
  <c r="F61" i="75" s="1"/>
  <c r="F60" i="75"/>
  <c r="E60" i="75"/>
  <c r="C60" i="75"/>
  <c r="E59" i="75"/>
  <c r="F59" i="75" s="1"/>
  <c r="C59" i="75"/>
  <c r="E58" i="75"/>
  <c r="C58" i="75"/>
  <c r="F58" i="75" s="1"/>
  <c r="E57" i="75"/>
  <c r="C57" i="75"/>
  <c r="F57" i="75" s="1"/>
  <c r="F56" i="75"/>
  <c r="E56" i="75"/>
  <c r="C56" i="75"/>
  <c r="E55" i="75"/>
  <c r="F55" i="75" s="1"/>
  <c r="C55" i="75"/>
  <c r="E54" i="75"/>
  <c r="C54" i="75"/>
  <c r="F54" i="75" s="1"/>
  <c r="E53" i="75"/>
  <c r="C53" i="75"/>
  <c r="F53" i="75" s="1"/>
  <c r="F52" i="75"/>
  <c r="E52" i="75"/>
  <c r="C52" i="75"/>
  <c r="E51" i="75"/>
  <c r="F51" i="75" s="1"/>
  <c r="C51" i="75"/>
  <c r="E50" i="75"/>
  <c r="C50" i="75"/>
  <c r="F50" i="75" s="1"/>
  <c r="E49" i="75"/>
  <c r="C49" i="75"/>
  <c r="F49" i="75" s="1"/>
  <c r="F48" i="75"/>
  <c r="E48" i="75"/>
  <c r="C48" i="75"/>
  <c r="E47" i="75"/>
  <c r="F47" i="75" s="1"/>
  <c r="C47" i="75"/>
  <c r="E46" i="75"/>
  <c r="C46" i="75"/>
  <c r="F46" i="75" s="1"/>
  <c r="E45" i="75"/>
  <c r="C45" i="75"/>
  <c r="F45" i="75" s="1"/>
  <c r="F44" i="75"/>
  <c r="E44" i="75"/>
  <c r="C44" i="75"/>
  <c r="E43" i="75"/>
  <c r="F43" i="75" s="1"/>
  <c r="C43" i="75"/>
  <c r="E42" i="75"/>
  <c r="C42" i="75"/>
  <c r="F42" i="75" s="1"/>
  <c r="E41" i="75"/>
  <c r="C41" i="75"/>
  <c r="F41" i="75" s="1"/>
  <c r="F40" i="75"/>
  <c r="E40" i="75"/>
  <c r="C40" i="75"/>
  <c r="E39" i="75"/>
  <c r="F39" i="75" s="1"/>
  <c r="C39" i="75"/>
  <c r="E38" i="75"/>
  <c r="C38" i="75"/>
  <c r="F38" i="75" s="1"/>
  <c r="E37" i="75"/>
  <c r="C37" i="75"/>
  <c r="F37" i="75" s="1"/>
  <c r="F36" i="75"/>
  <c r="E36" i="75"/>
  <c r="C36" i="75"/>
  <c r="E35" i="75"/>
  <c r="F35" i="75" s="1"/>
  <c r="C35" i="75"/>
  <c r="E34" i="75"/>
  <c r="C34" i="75"/>
  <c r="F34" i="75" s="1"/>
  <c r="E33" i="75"/>
  <c r="C33" i="75"/>
  <c r="F33" i="75" s="1"/>
  <c r="F32" i="75"/>
  <c r="E32" i="75"/>
  <c r="C32" i="75"/>
  <c r="E31" i="75"/>
  <c r="F31" i="75" s="1"/>
  <c r="C31" i="75"/>
  <c r="E30" i="75"/>
  <c r="F30" i="75" s="1"/>
  <c r="C30" i="75"/>
  <c r="E29" i="75"/>
  <c r="C29" i="75"/>
  <c r="F29" i="75" s="1"/>
  <c r="F28" i="75"/>
  <c r="F83" i="75" s="1"/>
  <c r="E28" i="75"/>
  <c r="C28" i="75"/>
  <c r="C25" i="75"/>
  <c r="E23" i="75"/>
  <c r="F23" i="75" s="1"/>
  <c r="E22" i="75"/>
  <c r="F22" i="75" s="1"/>
  <c r="A22" i="75"/>
  <c r="E21" i="75"/>
  <c r="F21" i="75" s="1"/>
  <c r="F25" i="75" s="1"/>
  <c r="A21" i="75"/>
  <c r="F15" i="75"/>
  <c r="E15" i="75"/>
  <c r="C15" i="75"/>
  <c r="E14" i="75"/>
  <c r="C14" i="75"/>
  <c r="C17" i="75" s="1"/>
  <c r="C85" i="75" s="1"/>
  <c r="F14" i="75" l="1"/>
  <c r="F17" i="75" s="1"/>
  <c r="F85" i="75" s="1"/>
  <c r="M23" i="64"/>
  <c r="J23" i="64" l="1"/>
  <c r="I23" i="64"/>
  <c r="H23" i="64"/>
  <c r="H26" i="64"/>
  <c r="L45" i="58" l="1"/>
  <c r="L44" i="58"/>
  <c r="M45" i="73"/>
  <c r="L45" i="73"/>
  <c r="K45" i="73"/>
  <c r="L34" i="6"/>
  <c r="L35" i="6"/>
  <c r="L37" i="6"/>
  <c r="L38" i="6"/>
  <c r="L40" i="6"/>
  <c r="L45" i="6"/>
  <c r="R52" i="70"/>
  <c r="L45" i="13"/>
  <c r="L44" i="13"/>
  <c r="L38" i="33" l="1"/>
  <c r="L36" i="33"/>
  <c r="L35" i="33"/>
  <c r="L34" i="33"/>
  <c r="L35" i="14" l="1"/>
  <c r="L34" i="14"/>
  <c r="L34" i="50" l="1"/>
  <c r="L38" i="37"/>
  <c r="L37" i="37"/>
  <c r="L36" i="37"/>
  <c r="L35" i="37"/>
  <c r="L34" i="37"/>
  <c r="L38" i="34"/>
  <c r="L37" i="34"/>
  <c r="L36" i="34"/>
  <c r="L35" i="34"/>
  <c r="L41" i="36"/>
  <c r="L38" i="36"/>
  <c r="L37" i="36"/>
  <c r="L36" i="36"/>
  <c r="L35" i="36"/>
  <c r="L34" i="36"/>
  <c r="L24" i="63"/>
  <c r="L45" i="74" l="1"/>
  <c r="L44" i="74"/>
  <c r="L43" i="74"/>
  <c r="L42" i="74"/>
  <c r="L41" i="74"/>
  <c r="L39" i="74"/>
  <c r="L38" i="74"/>
  <c r="L37" i="74"/>
  <c r="L36" i="74"/>
  <c r="F185" i="64" l="1"/>
  <c r="J89" i="64"/>
  <c r="I89" i="64"/>
  <c r="G89" i="64"/>
  <c r="E89" i="64"/>
  <c r="D89" i="64"/>
  <c r="C89" i="64"/>
  <c r="J88" i="64"/>
  <c r="I88" i="64"/>
  <c r="D88" i="64"/>
  <c r="C88" i="64"/>
  <c r="M46" i="44"/>
  <c r="L46" i="44"/>
  <c r="J46" i="44"/>
  <c r="I46" i="44"/>
  <c r="H46" i="44"/>
  <c r="G46" i="44"/>
  <c r="E46" i="44"/>
  <c r="D46" i="44"/>
  <c r="F46" i="44" s="1"/>
  <c r="M45" i="44"/>
  <c r="L45" i="44"/>
  <c r="J45" i="44"/>
  <c r="I45" i="44"/>
  <c r="H45" i="44"/>
  <c r="G45" i="44"/>
  <c r="E45" i="44"/>
  <c r="D45" i="44"/>
  <c r="F45" i="44" s="1"/>
  <c r="M44" i="44"/>
  <c r="L44" i="44"/>
  <c r="J44" i="44"/>
  <c r="I44" i="44"/>
  <c r="H44" i="44"/>
  <c r="G44" i="44"/>
  <c r="E44" i="44"/>
  <c r="D44" i="44"/>
  <c r="F44" i="44" s="1"/>
  <c r="M43" i="44"/>
  <c r="L43" i="44"/>
  <c r="J43" i="44"/>
  <c r="I43" i="44"/>
  <c r="H43" i="44"/>
  <c r="G43" i="44"/>
  <c r="E43" i="44"/>
  <c r="D43" i="44"/>
  <c r="F43" i="44" s="1"/>
  <c r="M42" i="44"/>
  <c r="L42" i="44"/>
  <c r="J42" i="44"/>
  <c r="I42" i="44"/>
  <c r="H42" i="44"/>
  <c r="G42" i="44"/>
  <c r="E42" i="44"/>
  <c r="D42" i="44"/>
  <c r="F42" i="44" s="1"/>
  <c r="M41" i="44"/>
  <c r="L41" i="44"/>
  <c r="J41" i="44"/>
  <c r="I41" i="44"/>
  <c r="H41" i="44"/>
  <c r="G41" i="44"/>
  <c r="E41" i="44"/>
  <c r="D41" i="44"/>
  <c r="F41" i="44" s="1"/>
  <c r="M40" i="44"/>
  <c r="L40" i="44"/>
  <c r="J40" i="44"/>
  <c r="I40" i="44"/>
  <c r="H40" i="44"/>
  <c r="G40" i="44"/>
  <c r="E40" i="44"/>
  <c r="D40" i="44"/>
  <c r="F40" i="44" s="1"/>
  <c r="M39" i="44"/>
  <c r="L39" i="44"/>
  <c r="J39" i="44"/>
  <c r="I39" i="44"/>
  <c r="H39" i="44"/>
  <c r="G39" i="44"/>
  <c r="E39" i="44"/>
  <c r="D39" i="44"/>
  <c r="F39" i="44" s="1"/>
  <c r="M38" i="44"/>
  <c r="L38" i="44"/>
  <c r="J38" i="44"/>
  <c r="I38" i="44"/>
  <c r="H38" i="44"/>
  <c r="G38" i="44"/>
  <c r="E38" i="44"/>
  <c r="D38" i="44"/>
  <c r="F38" i="44" s="1"/>
  <c r="M37" i="44"/>
  <c r="L37" i="44"/>
  <c r="J37" i="44"/>
  <c r="I37" i="44"/>
  <c r="H37" i="44"/>
  <c r="G37" i="44"/>
  <c r="E37" i="44"/>
  <c r="D37" i="44"/>
  <c r="F37" i="44" s="1"/>
  <c r="M36" i="44"/>
  <c r="L36" i="44"/>
  <c r="J36" i="44"/>
  <c r="I36" i="44"/>
  <c r="H36" i="44"/>
  <c r="G36" i="44"/>
  <c r="E36" i="44"/>
  <c r="D36" i="44"/>
  <c r="F36" i="44" s="1"/>
  <c r="M35" i="44"/>
  <c r="L35" i="44"/>
  <c r="J35" i="44"/>
  <c r="I35" i="44"/>
  <c r="H35" i="44"/>
  <c r="G35" i="44"/>
  <c r="E35" i="44"/>
  <c r="D35" i="44"/>
  <c r="F35" i="44" s="1"/>
  <c r="M34" i="44"/>
  <c r="L34" i="44"/>
  <c r="J34" i="44"/>
  <c r="I34" i="44"/>
  <c r="H34" i="44"/>
  <c r="G34" i="44"/>
  <c r="E34" i="44"/>
  <c r="F34" i="44" s="1"/>
  <c r="D34" i="44"/>
  <c r="M33" i="44"/>
  <c r="N33" i="44" s="1"/>
  <c r="L33" i="44"/>
  <c r="J33" i="44"/>
  <c r="I33" i="44"/>
  <c r="H33" i="44"/>
  <c r="K33" i="44" s="1"/>
  <c r="G33" i="44"/>
  <c r="E33" i="44"/>
  <c r="D33" i="44"/>
  <c r="F33" i="44" s="1"/>
  <c r="M32" i="44"/>
  <c r="L32" i="44"/>
  <c r="J32" i="44"/>
  <c r="I32" i="44"/>
  <c r="H32" i="44"/>
  <c r="G32" i="44"/>
  <c r="E32" i="44"/>
  <c r="F32" i="44" s="1"/>
  <c r="D32" i="44"/>
  <c r="M31" i="44"/>
  <c r="N31" i="44" s="1"/>
  <c r="L31" i="44"/>
  <c r="J31" i="44"/>
  <c r="I31" i="44"/>
  <c r="H31" i="44"/>
  <c r="K31" i="44" s="1"/>
  <c r="G31" i="44"/>
  <c r="E31" i="44"/>
  <c r="D31" i="44"/>
  <c r="F31" i="44" s="1"/>
  <c r="M30" i="44"/>
  <c r="L30" i="44"/>
  <c r="J30" i="44"/>
  <c r="I30" i="44"/>
  <c r="H30" i="44"/>
  <c r="G30" i="44"/>
  <c r="E30" i="44"/>
  <c r="F30" i="44" s="1"/>
  <c r="D30" i="44"/>
  <c r="M29" i="44"/>
  <c r="N29" i="44" s="1"/>
  <c r="L29" i="44"/>
  <c r="J29" i="44"/>
  <c r="I29" i="44"/>
  <c r="H29" i="44"/>
  <c r="K29" i="44" s="1"/>
  <c r="G29" i="44"/>
  <c r="E29" i="44"/>
  <c r="D29" i="44"/>
  <c r="F29" i="44" s="1"/>
  <c r="M28" i="44"/>
  <c r="L28" i="44"/>
  <c r="J28" i="44"/>
  <c r="I28" i="44"/>
  <c r="H28" i="44"/>
  <c r="G28" i="44"/>
  <c r="E28" i="44"/>
  <c r="F28" i="44" s="1"/>
  <c r="D28" i="44"/>
  <c r="M27" i="44"/>
  <c r="N27" i="44" s="1"/>
  <c r="L27" i="44"/>
  <c r="J27" i="44"/>
  <c r="I27" i="44"/>
  <c r="H27" i="44"/>
  <c r="K27" i="44" s="1"/>
  <c r="G27" i="44"/>
  <c r="E27" i="44"/>
  <c r="D27" i="44"/>
  <c r="F27" i="44" s="1"/>
  <c r="M26" i="44"/>
  <c r="L26" i="44"/>
  <c r="J26" i="44"/>
  <c r="I26" i="44"/>
  <c r="H26" i="44"/>
  <c r="G26" i="44"/>
  <c r="E26" i="44"/>
  <c r="F26" i="44" s="1"/>
  <c r="D26" i="44"/>
  <c r="M25" i="44"/>
  <c r="L25" i="44"/>
  <c r="J25" i="44"/>
  <c r="I25" i="44"/>
  <c r="H25" i="44"/>
  <c r="G25" i="44"/>
  <c r="E25" i="44"/>
  <c r="D25" i="44"/>
  <c r="F25" i="44" s="1"/>
  <c r="M24" i="44"/>
  <c r="L24" i="44"/>
  <c r="J24" i="44"/>
  <c r="I24" i="44"/>
  <c r="H24" i="44"/>
  <c r="G24" i="44"/>
  <c r="E24" i="44"/>
  <c r="F24" i="44" s="1"/>
  <c r="D24" i="44"/>
  <c r="M23" i="44"/>
  <c r="N23" i="44" s="1"/>
  <c r="L23" i="44"/>
  <c r="J23" i="44"/>
  <c r="I23" i="44"/>
  <c r="H23" i="44"/>
  <c r="K23" i="44" s="1"/>
  <c r="G23" i="44"/>
  <c r="E23" i="44"/>
  <c r="D23" i="44"/>
  <c r="F23" i="44" s="1"/>
  <c r="M22" i="44"/>
  <c r="L22" i="44"/>
  <c r="J22" i="44"/>
  <c r="I22" i="44"/>
  <c r="H22" i="44"/>
  <c r="G22" i="44"/>
  <c r="E22" i="44"/>
  <c r="F22" i="44" s="1"/>
  <c r="D22" i="44"/>
  <c r="M21" i="44"/>
  <c r="N21" i="44" s="1"/>
  <c r="L21" i="44"/>
  <c r="J21" i="44"/>
  <c r="I21" i="44"/>
  <c r="H21" i="44"/>
  <c r="K21" i="44" s="1"/>
  <c r="G21" i="44"/>
  <c r="E21" i="44"/>
  <c r="D21" i="44"/>
  <c r="F21" i="44" s="1"/>
  <c r="M20" i="44"/>
  <c r="L20" i="44"/>
  <c r="J20" i="44"/>
  <c r="I20" i="44"/>
  <c r="H20" i="44"/>
  <c r="G20" i="44"/>
  <c r="E20" i="44"/>
  <c r="F20" i="44" s="1"/>
  <c r="D20" i="44"/>
  <c r="M19" i="44"/>
  <c r="L19" i="44"/>
  <c r="J19" i="44"/>
  <c r="I19" i="44"/>
  <c r="H19" i="44"/>
  <c r="G19" i="44"/>
  <c r="E19" i="44"/>
  <c r="D19" i="44"/>
  <c r="F19" i="44" s="1"/>
  <c r="M18" i="44"/>
  <c r="L18" i="44"/>
  <c r="J18" i="44"/>
  <c r="I18" i="44"/>
  <c r="H18" i="44"/>
  <c r="G18" i="44"/>
  <c r="E18" i="44"/>
  <c r="F18" i="44" s="1"/>
  <c r="D18" i="44"/>
  <c r="M17" i="44"/>
  <c r="L17" i="44"/>
  <c r="J17" i="44"/>
  <c r="I17" i="44"/>
  <c r="H17" i="44"/>
  <c r="G17" i="44"/>
  <c r="E17" i="44"/>
  <c r="D17" i="44"/>
  <c r="F17" i="44" s="1"/>
  <c r="M16" i="44"/>
  <c r="L16" i="44"/>
  <c r="J16" i="44"/>
  <c r="I16" i="44"/>
  <c r="H16" i="44"/>
  <c r="G16" i="44"/>
  <c r="E16" i="44"/>
  <c r="D16" i="44"/>
  <c r="P48" i="74"/>
  <c r="O48" i="74"/>
  <c r="L48" i="74"/>
  <c r="F89" i="64" s="1"/>
  <c r="I48" i="74"/>
  <c r="H48" i="74"/>
  <c r="G48" i="74"/>
  <c r="E48" i="74"/>
  <c r="D48" i="74"/>
  <c r="N46" i="74"/>
  <c r="Q46" i="74" s="1"/>
  <c r="R46" i="74" s="1"/>
  <c r="J46" i="74"/>
  <c r="F46" i="74"/>
  <c r="N45" i="74"/>
  <c r="Q45" i="74" s="1"/>
  <c r="R45" i="74" s="1"/>
  <c r="J45" i="74"/>
  <c r="F45" i="74"/>
  <c r="N44" i="74"/>
  <c r="Q44" i="74" s="1"/>
  <c r="R44" i="74" s="1"/>
  <c r="J44" i="74"/>
  <c r="F44" i="74"/>
  <c r="N43" i="74"/>
  <c r="Q43" i="74" s="1"/>
  <c r="R43" i="74" s="1"/>
  <c r="J43" i="74"/>
  <c r="F43" i="74"/>
  <c r="N42" i="74"/>
  <c r="Q42" i="74" s="1"/>
  <c r="R42" i="74" s="1"/>
  <c r="J42" i="74"/>
  <c r="F42" i="74"/>
  <c r="N41" i="74"/>
  <c r="Q41" i="74" s="1"/>
  <c r="R41" i="74" s="1"/>
  <c r="J41" i="74"/>
  <c r="F41" i="74"/>
  <c r="N40" i="74"/>
  <c r="Q40" i="74" s="1"/>
  <c r="R40" i="74" s="1"/>
  <c r="J40" i="74"/>
  <c r="F40" i="74"/>
  <c r="N39" i="74"/>
  <c r="Q39" i="74" s="1"/>
  <c r="R39" i="74" s="1"/>
  <c r="J39" i="74"/>
  <c r="F39" i="74"/>
  <c r="N38" i="74"/>
  <c r="Q38" i="74" s="1"/>
  <c r="R38" i="74" s="1"/>
  <c r="J38" i="74"/>
  <c r="F38" i="74"/>
  <c r="N37" i="74"/>
  <c r="Q37" i="74" s="1"/>
  <c r="R37" i="74" s="1"/>
  <c r="J37" i="74"/>
  <c r="F37" i="74"/>
  <c r="M48" i="74"/>
  <c r="J36" i="74"/>
  <c r="F36" i="74"/>
  <c r="N35" i="74"/>
  <c r="Q35" i="74" s="1"/>
  <c r="R35" i="74" s="1"/>
  <c r="J35" i="74"/>
  <c r="F35" i="74"/>
  <c r="N34" i="74"/>
  <c r="Q34" i="74" s="1"/>
  <c r="R34" i="74" s="1"/>
  <c r="J34" i="74"/>
  <c r="F34" i="74"/>
  <c r="N33" i="74"/>
  <c r="Q33" i="74" s="1"/>
  <c r="R33" i="74" s="1"/>
  <c r="J33" i="74"/>
  <c r="F33" i="74"/>
  <c r="N32" i="74"/>
  <c r="Q32" i="74" s="1"/>
  <c r="R32" i="74" s="1"/>
  <c r="J32" i="74"/>
  <c r="F32" i="74"/>
  <c r="N31" i="74"/>
  <c r="Q31" i="74" s="1"/>
  <c r="R31" i="74" s="1"/>
  <c r="J31" i="74"/>
  <c r="F31" i="74"/>
  <c r="N30" i="74"/>
  <c r="Q30" i="74" s="1"/>
  <c r="R30" i="74" s="1"/>
  <c r="J30" i="74"/>
  <c r="F30" i="74"/>
  <c r="N29" i="74"/>
  <c r="Q29" i="74" s="1"/>
  <c r="R29" i="74" s="1"/>
  <c r="J29" i="74"/>
  <c r="F29" i="74"/>
  <c r="N28" i="74"/>
  <c r="Q28" i="74" s="1"/>
  <c r="R28" i="74" s="1"/>
  <c r="J28" i="74"/>
  <c r="F28" i="74"/>
  <c r="N27" i="74"/>
  <c r="Q27" i="74" s="1"/>
  <c r="R27" i="74" s="1"/>
  <c r="J27" i="74"/>
  <c r="F27" i="74"/>
  <c r="N26" i="74"/>
  <c r="Q26" i="74" s="1"/>
  <c r="R26" i="74" s="1"/>
  <c r="J26" i="74"/>
  <c r="F26" i="74"/>
  <c r="N25" i="74"/>
  <c r="Q25" i="74" s="1"/>
  <c r="R25" i="74" s="1"/>
  <c r="J25" i="74"/>
  <c r="F25" i="74"/>
  <c r="N24" i="74"/>
  <c r="Q24" i="74" s="1"/>
  <c r="R24" i="74" s="1"/>
  <c r="J24" i="74"/>
  <c r="F24" i="74"/>
  <c r="N23" i="74"/>
  <c r="Q23" i="74" s="1"/>
  <c r="R23" i="74" s="1"/>
  <c r="J23" i="74"/>
  <c r="F23" i="74"/>
  <c r="N22" i="74"/>
  <c r="Q22" i="74" s="1"/>
  <c r="R22" i="74" s="1"/>
  <c r="J22" i="74"/>
  <c r="F22" i="74"/>
  <c r="N21" i="74"/>
  <c r="Q21" i="74" s="1"/>
  <c r="R21" i="74" s="1"/>
  <c r="J21" i="74"/>
  <c r="F21" i="74"/>
  <c r="N20" i="74"/>
  <c r="Q20" i="74" s="1"/>
  <c r="R20" i="74" s="1"/>
  <c r="K48" i="74"/>
  <c r="J20" i="74"/>
  <c r="F20" i="74"/>
  <c r="N19" i="74"/>
  <c r="Q19" i="74" s="1"/>
  <c r="R19" i="74" s="1"/>
  <c r="J19" i="74"/>
  <c r="F19" i="74"/>
  <c r="N18" i="74"/>
  <c r="Q18" i="74" s="1"/>
  <c r="R18" i="74" s="1"/>
  <c r="J18" i="74"/>
  <c r="F18" i="74"/>
  <c r="N17" i="74"/>
  <c r="Q17" i="74" s="1"/>
  <c r="R17" i="74" s="1"/>
  <c r="J17" i="74"/>
  <c r="F17" i="74"/>
  <c r="N16" i="74"/>
  <c r="J16" i="74"/>
  <c r="J48" i="74" s="1"/>
  <c r="F16" i="74"/>
  <c r="F48" i="74" s="1"/>
  <c r="R12" i="74"/>
  <c r="M12" i="74"/>
  <c r="L34" i="12"/>
  <c r="L38" i="66"/>
  <c r="L37" i="66"/>
  <c r="L36" i="66"/>
  <c r="L35" i="66"/>
  <c r="L34" i="66"/>
  <c r="L38" i="41"/>
  <c r="L37" i="41"/>
  <c r="L36" i="41"/>
  <c r="L35" i="41"/>
  <c r="L34" i="41"/>
  <c r="L43" i="31"/>
  <c r="L42" i="31"/>
  <c r="L41" i="31"/>
  <c r="L38" i="31"/>
  <c r="L37" i="31"/>
  <c r="L36" i="31"/>
  <c r="L35" i="31"/>
  <c r="L34" i="31"/>
  <c r="L38" i="60"/>
  <c r="L35" i="60"/>
  <c r="L34" i="60"/>
  <c r="L30" i="60"/>
  <c r="L45" i="70"/>
  <c r="L44" i="70"/>
  <c r="L43" i="70"/>
  <c r="L42" i="70"/>
  <c r="L41" i="70"/>
  <c r="L40" i="70"/>
  <c r="L34" i="55"/>
  <c r="L38" i="39"/>
  <c r="L37" i="39"/>
  <c r="L36" i="39"/>
  <c r="L35" i="39"/>
  <c r="L34" i="39"/>
  <c r="O38" i="10"/>
  <c r="O37" i="10"/>
  <c r="O35" i="10"/>
  <c r="O34" i="10"/>
  <c r="N40" i="4"/>
  <c r="N39" i="4"/>
  <c r="N38" i="4"/>
  <c r="N37" i="4"/>
  <c r="N36" i="4"/>
  <c r="N35" i="4"/>
  <c r="N34" i="4"/>
  <c r="N22" i="4"/>
  <c r="S38" i="54"/>
  <c r="S37" i="54"/>
  <c r="S36" i="54"/>
  <c r="S35" i="54"/>
  <c r="S34" i="54"/>
  <c r="S22" i="54"/>
  <c r="K25" i="44" l="1"/>
  <c r="N25" i="44" s="1"/>
  <c r="O25" i="44" s="1"/>
  <c r="K19" i="44"/>
  <c r="N19" i="44" s="1"/>
  <c r="O19" i="44" s="1"/>
  <c r="K17" i="44"/>
  <c r="N17" i="44"/>
  <c r="O17" i="44" s="1"/>
  <c r="O21" i="44"/>
  <c r="O23" i="44"/>
  <c r="O27" i="44"/>
  <c r="O29" i="44"/>
  <c r="O31" i="44"/>
  <c r="O33" i="44"/>
  <c r="K18" i="44"/>
  <c r="N18" i="44" s="1"/>
  <c r="O18" i="44" s="1"/>
  <c r="K20" i="44"/>
  <c r="N20" i="44" s="1"/>
  <c r="O20" i="44" s="1"/>
  <c r="K22" i="44"/>
  <c r="N22" i="44" s="1"/>
  <c r="O22" i="44" s="1"/>
  <c r="K24" i="44"/>
  <c r="N24" i="44" s="1"/>
  <c r="O24" i="44" s="1"/>
  <c r="K26" i="44"/>
  <c r="N26" i="44" s="1"/>
  <c r="O26" i="44" s="1"/>
  <c r="K28" i="44"/>
  <c r="N28" i="44" s="1"/>
  <c r="O28" i="44" s="1"/>
  <c r="K30" i="44"/>
  <c r="N30" i="44" s="1"/>
  <c r="O30" i="44" s="1"/>
  <c r="K32" i="44"/>
  <c r="N32" i="44" s="1"/>
  <c r="O32" i="44" s="1"/>
  <c r="K34" i="44"/>
  <c r="N34" i="44" s="1"/>
  <c r="O34" i="44" s="1"/>
  <c r="K35" i="44"/>
  <c r="N35" i="44" s="1"/>
  <c r="O35" i="44" s="1"/>
  <c r="K36" i="44"/>
  <c r="N36" i="44" s="1"/>
  <c r="O36" i="44" s="1"/>
  <c r="K37" i="44"/>
  <c r="N37" i="44" s="1"/>
  <c r="O37" i="44" s="1"/>
  <c r="K38" i="44"/>
  <c r="N38" i="44" s="1"/>
  <c r="O38" i="44" s="1"/>
  <c r="K39" i="44"/>
  <c r="N39" i="44" s="1"/>
  <c r="O39" i="44" s="1"/>
  <c r="K40" i="44"/>
  <c r="N40" i="44" s="1"/>
  <c r="O40" i="44" s="1"/>
  <c r="K41" i="44"/>
  <c r="N41" i="44" s="1"/>
  <c r="O41" i="44" s="1"/>
  <c r="K42" i="44"/>
  <c r="N42" i="44" s="1"/>
  <c r="O42" i="44" s="1"/>
  <c r="K43" i="44"/>
  <c r="N43" i="44" s="1"/>
  <c r="O43" i="44" s="1"/>
  <c r="K44" i="44"/>
  <c r="N44" i="44" s="1"/>
  <c r="O44" i="44" s="1"/>
  <c r="K45" i="44"/>
  <c r="N45" i="44" s="1"/>
  <c r="O45" i="44" s="1"/>
  <c r="K46" i="44"/>
  <c r="N46" i="44"/>
  <c r="O46" i="44" s="1"/>
  <c r="N50" i="74"/>
  <c r="Q16" i="74"/>
  <c r="N36" i="74"/>
  <c r="Q36" i="74" s="1"/>
  <c r="R36" i="74" s="1"/>
  <c r="L45" i="11"/>
  <c r="L44" i="11"/>
  <c r="L43" i="11"/>
  <c r="L42" i="11"/>
  <c r="L41" i="11"/>
  <c r="L43" i="15"/>
  <c r="L38" i="43"/>
  <c r="L37" i="43"/>
  <c r="L36" i="43"/>
  <c r="L35" i="43"/>
  <c r="L20" i="43"/>
  <c r="L38" i="49"/>
  <c r="L37" i="49"/>
  <c r="L36" i="49"/>
  <c r="L35" i="49"/>
  <c r="L34" i="49"/>
  <c r="L20" i="7"/>
  <c r="L38" i="20"/>
  <c r="L37" i="20"/>
  <c r="L36" i="20"/>
  <c r="L35" i="20"/>
  <c r="L34" i="20"/>
  <c r="L34" i="7"/>
  <c r="L39" i="38"/>
  <c r="L38" i="38"/>
  <c r="L37" i="38"/>
  <c r="L36" i="38"/>
  <c r="L35" i="38"/>
  <c r="L34" i="38"/>
  <c r="L35" i="23"/>
  <c r="N48" i="74" l="1"/>
  <c r="R16" i="74"/>
  <c r="R48" i="74" s="1"/>
  <c r="H38" i="9" s="1"/>
  <c r="Q48" i="74"/>
  <c r="R50" i="74" s="1"/>
  <c r="L36" i="70"/>
  <c r="L35" i="70"/>
  <c r="L34" i="70"/>
  <c r="L38" i="62"/>
  <c r="L37" i="62"/>
  <c r="L36" i="62"/>
  <c r="L35" i="62"/>
  <c r="L34" i="62"/>
  <c r="R52" i="74" l="1"/>
  <c r="L40" i="12"/>
  <c r="L39" i="12"/>
  <c r="L38" i="12"/>
  <c r="L37" i="12"/>
  <c r="L36" i="12"/>
  <c r="L35" i="12"/>
  <c r="L18" i="12" l="1"/>
  <c r="L17" i="12"/>
  <c r="L34" i="11"/>
  <c r="L39" i="11" l="1"/>
  <c r="L38" i="11"/>
  <c r="L37" i="11"/>
  <c r="L36" i="11"/>
  <c r="L35" i="11"/>
  <c r="L38" i="18"/>
  <c r="L37" i="18"/>
  <c r="M36" i="18"/>
  <c r="L36" i="18"/>
  <c r="M35" i="18"/>
  <c r="L35" i="18"/>
  <c r="M34" i="18"/>
  <c r="L34" i="18"/>
  <c r="L29" i="18"/>
  <c r="L40" i="13"/>
  <c r="L36" i="13"/>
  <c r="L35" i="13"/>
  <c r="L38" i="68"/>
  <c r="L37" i="68"/>
  <c r="L36" i="68"/>
  <c r="L34" i="68"/>
  <c r="L45" i="15"/>
  <c r="L44" i="15"/>
  <c r="L42" i="15"/>
  <c r="L41" i="15"/>
  <c r="L38" i="15"/>
  <c r="L37" i="15"/>
  <c r="L36" i="15"/>
  <c r="L35" i="15"/>
  <c r="L34" i="15"/>
  <c r="L17" i="15"/>
  <c r="M45" i="17"/>
  <c r="M44" i="17"/>
  <c r="M43" i="17"/>
  <c r="M42" i="17"/>
  <c r="M38" i="17"/>
  <c r="M37" i="17"/>
  <c r="L35" i="17"/>
  <c r="L34" i="17"/>
  <c r="M30" i="17"/>
  <c r="L20" i="17"/>
  <c r="L37" i="46"/>
  <c r="L36" i="46"/>
  <c r="L35" i="46"/>
  <c r="L36" i="58"/>
  <c r="L35" i="58"/>
  <c r="L34" i="58"/>
  <c r="L26" i="58"/>
  <c r="L18" i="58"/>
  <c r="L17" i="58"/>
  <c r="L44" i="42"/>
  <c r="L43" i="42"/>
  <c r="L42" i="42"/>
  <c r="L41" i="42"/>
  <c r="L38" i="42"/>
  <c r="L37" i="42"/>
  <c r="L36" i="42"/>
  <c r="L35" i="42"/>
  <c r="L34" i="42"/>
  <c r="L17" i="42"/>
  <c r="L45" i="42"/>
  <c r="L34" i="19"/>
  <c r="L35" i="19"/>
  <c r="L38" i="57"/>
  <c r="L35" i="57"/>
  <c r="M34" i="57"/>
  <c r="L34" i="57"/>
  <c r="L27" i="52"/>
  <c r="L36" i="30"/>
  <c r="L34" i="30"/>
  <c r="L30" i="30"/>
  <c r="L36" i="29"/>
  <c r="L35" i="29"/>
  <c r="L34" i="29"/>
  <c r="L34" i="5"/>
  <c r="L37" i="16"/>
  <c r="L34" i="16"/>
  <c r="L35" i="28"/>
  <c r="L34" i="28"/>
  <c r="L20" i="5" l="1"/>
  <c r="H39" i="13"/>
  <c r="L39" i="13"/>
  <c r="L36" i="28"/>
  <c r="M44" i="73" l="1"/>
  <c r="K44" i="73"/>
  <c r="L44" i="73"/>
  <c r="L45" i="71"/>
  <c r="L45" i="66"/>
  <c r="L45" i="68"/>
  <c r="L45" i="63"/>
  <c r="L45" i="62"/>
  <c r="L45" i="50"/>
  <c r="L44" i="50"/>
  <c r="L45" i="60"/>
  <c r="L45" i="57"/>
  <c r="L45" i="55"/>
  <c r="L45" i="28"/>
  <c r="L44" i="28"/>
  <c r="L45" i="41"/>
  <c r="L45" i="30"/>
  <c r="L45" i="31"/>
  <c r="L45" i="33"/>
  <c r="L45" i="34"/>
  <c r="L45" i="27"/>
  <c r="L44" i="27"/>
  <c r="L45" i="35"/>
  <c r="N46" i="43"/>
  <c r="N45" i="43"/>
  <c r="L45" i="43"/>
  <c r="L45" i="29"/>
  <c r="L45" i="36"/>
  <c r="L45" i="37"/>
  <c r="L45" i="39"/>
  <c r="L45" i="40"/>
  <c r="L45" i="14"/>
  <c r="L45" i="16"/>
  <c r="L45" i="17"/>
  <c r="L44" i="7"/>
  <c r="L45" i="7"/>
  <c r="L45" i="38"/>
  <c r="L45" i="23"/>
  <c r="L45" i="46"/>
  <c r="L36" i="6"/>
  <c r="L45" i="19"/>
  <c r="L45" i="49"/>
  <c r="L45" i="20"/>
  <c r="L45" i="52"/>
  <c r="L44" i="6"/>
  <c r="L45" i="5"/>
  <c r="L45" i="12"/>
  <c r="L45" i="18"/>
  <c r="N45" i="4"/>
  <c r="S45" i="54"/>
  <c r="O45" i="10"/>
  <c r="O44" i="10" l="1"/>
  <c r="S44" i="54" l="1"/>
  <c r="N44" i="4"/>
  <c r="L44" i="30"/>
  <c r="L44" i="60"/>
  <c r="L44" i="17" l="1"/>
  <c r="L44" i="71"/>
  <c r="L44" i="39"/>
  <c r="L44" i="52"/>
  <c r="L44" i="49"/>
  <c r="L44" i="33"/>
  <c r="L44" i="34"/>
  <c r="L44" i="12"/>
  <c r="L44" i="19"/>
  <c r="L44" i="57"/>
  <c r="L44" i="38"/>
  <c r="L44" i="18"/>
  <c r="L44" i="16"/>
  <c r="L44" i="62"/>
  <c r="L44" i="66"/>
  <c r="L44" i="36"/>
  <c r="L44" i="43"/>
  <c r="L44" i="68"/>
  <c r="L44" i="40"/>
  <c r="L44" i="31"/>
  <c r="L44" i="23"/>
  <c r="L44" i="63"/>
  <c r="L44" i="46"/>
  <c r="K43" i="73"/>
  <c r="M43" i="73"/>
  <c r="L44" i="41"/>
  <c r="L44" i="5"/>
  <c r="L44" i="20"/>
  <c r="L44" i="55"/>
  <c r="L44" i="29"/>
  <c r="L44" i="35"/>
  <c r="L44" i="37"/>
  <c r="L44" i="14"/>
  <c r="L43" i="73"/>
  <c r="K42" i="73"/>
  <c r="M42" i="73"/>
  <c r="L42" i="73"/>
  <c r="M41" i="73"/>
  <c r="K41" i="73"/>
  <c r="L43" i="71"/>
  <c r="L43" i="68"/>
  <c r="L43" i="63"/>
  <c r="L43" i="66"/>
  <c r="L43" i="62"/>
  <c r="L43" i="58"/>
  <c r="L43" i="60"/>
  <c r="L43" i="50"/>
  <c r="L43" i="57"/>
  <c r="L43" i="55"/>
  <c r="L43" i="28"/>
  <c r="L43" i="41"/>
  <c r="L43" i="30"/>
  <c r="L43" i="34"/>
  <c r="L43" i="33"/>
  <c r="L43" i="27"/>
  <c r="L43" i="35"/>
  <c r="L43" i="43"/>
  <c r="L43" i="29"/>
  <c r="L43" i="36"/>
  <c r="L43" i="37"/>
  <c r="L43" i="38"/>
  <c r="L43" i="39"/>
  <c r="L43" i="40"/>
  <c r="L43" i="14"/>
  <c r="L43" i="16"/>
  <c r="L43" i="17"/>
  <c r="L43" i="7"/>
  <c r="L43" i="23"/>
  <c r="L43" i="46"/>
  <c r="L43" i="19"/>
  <c r="L43" i="18"/>
  <c r="L43" i="49"/>
  <c r="L43" i="52"/>
  <c r="L41" i="20"/>
  <c r="L42" i="20"/>
  <c r="L43" i="20"/>
  <c r="L43" i="6"/>
  <c r="L43" i="5"/>
  <c r="L43" i="12"/>
  <c r="L43" i="13"/>
  <c r="N43" i="4"/>
  <c r="S43" i="54"/>
  <c r="O43" i="10"/>
  <c r="O42" i="10"/>
  <c r="L42" i="60" l="1"/>
  <c r="S42" i="54"/>
  <c r="N42" i="4"/>
  <c r="L42" i="58" l="1"/>
  <c r="L41" i="58"/>
  <c r="L40" i="58"/>
  <c r="L42" i="18" l="1"/>
  <c r="L42" i="5"/>
  <c r="L42" i="36"/>
  <c r="L42" i="57"/>
  <c r="L42" i="33"/>
  <c r="L42" i="34"/>
  <c r="L42" i="30"/>
  <c r="L42" i="38" l="1"/>
  <c r="L42" i="13"/>
  <c r="L42" i="17"/>
  <c r="L42" i="62"/>
  <c r="L42" i="19"/>
  <c r="L42" i="52"/>
  <c r="L42" i="49"/>
  <c r="L42" i="12"/>
  <c r="L42" i="55"/>
  <c r="L42" i="28"/>
  <c r="L42" i="66"/>
  <c r="L42" i="16"/>
  <c r="L42" i="41"/>
  <c r="L42" i="71"/>
  <c r="L42" i="50"/>
  <c r="L42" i="27"/>
  <c r="L42" i="7"/>
  <c r="L42" i="39"/>
  <c r="L42" i="46"/>
  <c r="L42" i="68"/>
  <c r="L42" i="29"/>
  <c r="L42" i="14"/>
  <c r="L42" i="63"/>
  <c r="L42" i="6"/>
  <c r="L42" i="37"/>
  <c r="L42" i="40"/>
  <c r="L42" i="23"/>
  <c r="L42" i="43"/>
  <c r="N42" i="35"/>
  <c r="L42" i="35"/>
  <c r="L24" i="5" l="1"/>
  <c r="H24" i="5"/>
  <c r="O41" i="10"/>
  <c r="L41" i="73"/>
  <c r="M38" i="73"/>
  <c r="K38" i="73"/>
  <c r="S41" i="54" l="1"/>
  <c r="N41" i="4"/>
  <c r="L41" i="30"/>
  <c r="L41" i="60"/>
  <c r="L41" i="18" l="1"/>
  <c r="L41" i="13"/>
  <c r="L41" i="38"/>
  <c r="L41" i="37"/>
  <c r="L41" i="29"/>
  <c r="L41" i="43"/>
  <c r="L41" i="39"/>
  <c r="L41" i="27"/>
  <c r="L41" i="62"/>
  <c r="L41" i="55"/>
  <c r="L41" i="52"/>
  <c r="L41" i="7"/>
  <c r="L41" i="16"/>
  <c r="L41" i="71"/>
  <c r="L41" i="49"/>
  <c r="L41" i="46"/>
  <c r="L41" i="12"/>
  <c r="L41" i="57"/>
  <c r="L41" i="41"/>
  <c r="L41" i="34"/>
  <c r="L41" i="28"/>
  <c r="L41" i="68"/>
  <c r="L41" i="17"/>
  <c r="L41" i="63"/>
  <c r="L41" i="66"/>
  <c r="L41" i="33"/>
  <c r="L41" i="50"/>
  <c r="L41" i="19"/>
  <c r="L41" i="23"/>
  <c r="I40" i="57"/>
  <c r="I39" i="57"/>
  <c r="L39" i="57"/>
  <c r="L41" i="40"/>
  <c r="L41" i="5"/>
  <c r="L40" i="20"/>
  <c r="L41" i="14"/>
  <c r="L41" i="6"/>
  <c r="L39" i="6"/>
  <c r="O36" i="10" l="1"/>
  <c r="L41" i="35"/>
  <c r="L37" i="17" l="1"/>
  <c r="L38" i="17"/>
  <c r="L39" i="58" l="1"/>
  <c r="L40" i="11"/>
  <c r="L40" i="18"/>
  <c r="L39" i="18"/>
  <c r="L39" i="27"/>
  <c r="L38" i="73" l="1"/>
  <c r="L38" i="30" l="1"/>
  <c r="L38" i="71"/>
  <c r="L38" i="16"/>
  <c r="L38" i="70"/>
  <c r="L38" i="14"/>
  <c r="L38" i="23"/>
  <c r="L38" i="28"/>
  <c r="L38" i="27"/>
  <c r="L38" i="19"/>
  <c r="L38" i="13"/>
  <c r="H38" i="13"/>
  <c r="L38" i="58"/>
  <c r="L38" i="52"/>
  <c r="L38" i="29"/>
  <c r="L38" i="50"/>
  <c r="L38" i="55"/>
  <c r="L38" i="7"/>
  <c r="L38" i="40"/>
  <c r="L38" i="63"/>
  <c r="L38" i="5"/>
  <c r="L38" i="46"/>
  <c r="L38" i="35"/>
  <c r="M37" i="73" l="1"/>
  <c r="K37" i="73"/>
  <c r="L37" i="73"/>
  <c r="L37" i="57"/>
  <c r="L37" i="29"/>
  <c r="L37" i="71" l="1"/>
  <c r="L37" i="13"/>
  <c r="H37" i="13"/>
  <c r="L37" i="28" l="1"/>
  <c r="L37" i="52"/>
  <c r="L37" i="30"/>
  <c r="L37" i="60"/>
  <c r="L37" i="63"/>
  <c r="L37" i="58"/>
  <c r="L37" i="27"/>
  <c r="L37" i="70"/>
  <c r="L37" i="50"/>
  <c r="L37" i="19"/>
  <c r="L37" i="14"/>
  <c r="L37" i="7"/>
  <c r="L37" i="5"/>
  <c r="L37" i="40"/>
  <c r="L37" i="55"/>
  <c r="L37" i="23"/>
  <c r="M36" i="73"/>
  <c r="K36" i="73"/>
  <c r="K32" i="73"/>
  <c r="L37" i="33"/>
  <c r="L37" i="35"/>
  <c r="M30" i="73"/>
  <c r="K30" i="73"/>
  <c r="M28" i="73"/>
  <c r="K28" i="73"/>
  <c r="L28" i="73"/>
  <c r="M27" i="73"/>
  <c r="K27" i="73"/>
  <c r="L27" i="73"/>
  <c r="L25" i="73"/>
  <c r="M24" i="73"/>
  <c r="K24" i="73"/>
  <c r="L24" i="73"/>
  <c r="M23" i="73"/>
  <c r="K23" i="73"/>
  <c r="M22" i="73"/>
  <c r="K22" i="73"/>
  <c r="M21" i="73"/>
  <c r="K21" i="73"/>
  <c r="L23" i="73"/>
  <c r="L22" i="73"/>
  <c r="L17" i="73"/>
  <c r="L32" i="73"/>
  <c r="M31" i="73"/>
  <c r="K31" i="73"/>
  <c r="L31" i="73"/>
  <c r="L36" i="73"/>
  <c r="L36" i="40" l="1"/>
  <c r="L36" i="55" l="1"/>
  <c r="M29" i="73" l="1"/>
  <c r="K29" i="73"/>
  <c r="M20" i="73"/>
  <c r="K20" i="73"/>
  <c r="L30" i="73"/>
  <c r="L36" i="35" l="1"/>
  <c r="L36" i="63"/>
  <c r="L36" i="7"/>
  <c r="L36" i="5"/>
  <c r="L36" i="23"/>
  <c r="L36" i="50"/>
  <c r="L36" i="27"/>
  <c r="L36" i="19"/>
  <c r="L36" i="71"/>
  <c r="L36" i="17"/>
  <c r="L36" i="14"/>
  <c r="L36" i="57"/>
  <c r="L36" i="52"/>
  <c r="L33" i="58"/>
  <c r="L36" i="60"/>
  <c r="L36" i="16"/>
  <c r="L35" i="16" l="1"/>
  <c r="L31" i="6"/>
  <c r="L35" i="5"/>
  <c r="L33" i="12"/>
  <c r="L32" i="12"/>
  <c r="L31" i="12"/>
  <c r="S32" i="54"/>
  <c r="L29" i="73"/>
  <c r="L35" i="71"/>
  <c r="L33" i="66"/>
  <c r="L32" i="66"/>
  <c r="L31" i="66"/>
  <c r="L30" i="66"/>
  <c r="L34" i="63"/>
  <c r="L35" i="63"/>
  <c r="L32" i="58"/>
  <c r="L31" i="58"/>
  <c r="L30" i="58"/>
  <c r="L33" i="57"/>
  <c r="L31" i="57"/>
  <c r="L35" i="50"/>
  <c r="L35" i="55"/>
  <c r="L33" i="42"/>
  <c r="L32" i="28"/>
  <c r="L31" i="28"/>
  <c r="L31" i="41"/>
  <c r="L31" i="30"/>
  <c r="L27" i="30"/>
  <c r="L35" i="30" l="1"/>
  <c r="L31" i="31"/>
  <c r="L34" i="34"/>
  <c r="L31" i="34"/>
  <c r="L31" i="33"/>
  <c r="L35" i="27"/>
  <c r="L34" i="27"/>
  <c r="L31" i="27"/>
  <c r="L35" i="35"/>
  <c r="L31" i="35"/>
  <c r="L20" i="35"/>
  <c r="L31" i="43"/>
  <c r="L30" i="43"/>
  <c r="L31" i="37"/>
  <c r="L31" i="29"/>
  <c r="L30" i="29"/>
  <c r="L31" i="36"/>
  <c r="L29" i="36"/>
  <c r="L29" i="37"/>
  <c r="L28" i="37"/>
  <c r="L31" i="38"/>
  <c r="L34" i="23"/>
  <c r="L31" i="23"/>
  <c r="L31" i="39"/>
  <c r="L32" i="18"/>
  <c r="L35" i="52"/>
  <c r="L31" i="15"/>
  <c r="L35" i="40"/>
  <c r="L34" i="40"/>
  <c r="L31" i="40"/>
  <c r="L31" i="14"/>
  <c r="L31" i="16"/>
  <c r="L31" i="17"/>
  <c r="L35" i="7"/>
  <c r="L31" i="7"/>
  <c r="L31" i="46"/>
  <c r="L31" i="19"/>
  <c r="L30" i="19"/>
  <c r="L29" i="19"/>
  <c r="L31" i="18"/>
  <c r="L31" i="49"/>
  <c r="L31" i="52"/>
  <c r="L31" i="20"/>
  <c r="L21" i="20"/>
  <c r="L20" i="20"/>
  <c r="L28" i="6" l="1"/>
  <c r="L29" i="6"/>
  <c r="L27" i="6"/>
  <c r="L31" i="5"/>
  <c r="L17" i="5"/>
  <c r="L33" i="11"/>
  <c r="L32" i="11"/>
  <c r="L31" i="11"/>
  <c r="L34" i="13"/>
  <c r="L31" i="13"/>
  <c r="O31" i="10" l="1"/>
  <c r="O30" i="10"/>
  <c r="N31" i="4"/>
  <c r="N30" i="4"/>
  <c r="S33" i="54"/>
  <c r="S31" i="54" l="1"/>
  <c r="S30" i="54" l="1"/>
  <c r="L21" i="73" l="1"/>
  <c r="L20" i="73"/>
  <c r="L16" i="73" l="1"/>
  <c r="L31" i="70"/>
  <c r="L30" i="70"/>
  <c r="L29" i="70"/>
  <c r="L28" i="70"/>
  <c r="L27" i="70"/>
  <c r="L31" i="68"/>
  <c r="L31" i="63"/>
  <c r="L30" i="63"/>
  <c r="L20" i="66"/>
  <c r="L21" i="66"/>
  <c r="L22" i="66"/>
  <c r="L31" i="62"/>
  <c r="L30" i="62"/>
  <c r="L31" i="60"/>
  <c r="L29" i="60"/>
  <c r="L28" i="60"/>
  <c r="L29" i="58"/>
  <c r="L28" i="58"/>
  <c r="L30" i="57"/>
  <c r="L31" i="50"/>
  <c r="L30" i="50"/>
  <c r="L31" i="55"/>
  <c r="L30" i="55"/>
  <c r="L31" i="42"/>
  <c r="L30" i="42"/>
  <c r="L20" i="42"/>
  <c r="L30" i="28"/>
  <c r="L29" i="28"/>
  <c r="L28" i="28"/>
  <c r="L27" i="28"/>
  <c r="L30" i="41"/>
  <c r="L20" i="41"/>
  <c r="L29" i="30"/>
  <c r="L24" i="30"/>
  <c r="L22" i="30"/>
  <c r="L20" i="30"/>
  <c r="L21" i="30"/>
  <c r="L18" i="30"/>
  <c r="L17" i="30"/>
  <c r="L30" i="31"/>
  <c r="L29" i="31"/>
  <c r="L30" i="34"/>
  <c r="L29" i="34"/>
  <c r="L20" i="34"/>
  <c r="L17" i="34"/>
  <c r="L30" i="33"/>
  <c r="L29" i="33"/>
  <c r="L21" i="33"/>
  <c r="L30" i="27"/>
  <c r="L29" i="27"/>
  <c r="L20" i="27"/>
  <c r="L17" i="27"/>
  <c r="L30" i="35"/>
  <c r="L29" i="35"/>
  <c r="L29" i="43"/>
  <c r="L17" i="29"/>
  <c r="L20" i="29"/>
  <c r="L29" i="29"/>
  <c r="L30" i="36"/>
  <c r="L20" i="36"/>
  <c r="L17" i="36"/>
  <c r="L30" i="37"/>
  <c r="L27" i="37"/>
  <c r="L30" i="38"/>
  <c r="L29" i="38"/>
  <c r="L28" i="38"/>
  <c r="L30" i="23"/>
  <c r="L29" i="23"/>
  <c r="L20" i="23"/>
  <c r="L17" i="23"/>
  <c r="L30" i="39"/>
  <c r="L29" i="39"/>
  <c r="L28" i="39"/>
  <c r="L20" i="39"/>
  <c r="L17" i="39"/>
  <c r="L30" i="15"/>
  <c r="L29" i="15"/>
  <c r="L28" i="15"/>
  <c r="L30" i="40"/>
  <c r="L29" i="40"/>
  <c r="L28" i="40"/>
  <c r="L20" i="40"/>
  <c r="L17" i="40"/>
  <c r="L20" i="14"/>
  <c r="L17" i="14"/>
  <c r="L30" i="14"/>
  <c r="L29" i="14"/>
  <c r="L28" i="14"/>
  <c r="L30" i="16"/>
  <c r="L29" i="16"/>
  <c r="L28" i="16"/>
  <c r="L20" i="16"/>
  <c r="L30" i="17"/>
  <c r="L29" i="17"/>
  <c r="L28" i="17"/>
  <c r="L27" i="17"/>
  <c r="L30" i="7"/>
  <c r="L29" i="7"/>
  <c r="L28" i="7"/>
  <c r="L30" i="46"/>
  <c r="L29" i="46"/>
  <c r="L28" i="46"/>
  <c r="L28" i="19"/>
  <c r="L27" i="19"/>
  <c r="L16" i="19"/>
  <c r="L30" i="18"/>
  <c r="L28" i="18"/>
  <c r="L30" i="49"/>
  <c r="L29" i="49"/>
  <c r="L28" i="49"/>
  <c r="L20" i="49"/>
  <c r="L30" i="11"/>
  <c r="L30" i="13"/>
  <c r="L30" i="52"/>
  <c r="L29" i="52"/>
  <c r="L28" i="52"/>
  <c r="L24" i="52"/>
  <c r="L30" i="20" l="1"/>
  <c r="L29" i="20"/>
  <c r="L28" i="20"/>
  <c r="L17" i="20"/>
  <c r="L30" i="6"/>
  <c r="L30" i="5"/>
  <c r="L29" i="5"/>
  <c r="L28" i="5"/>
  <c r="L29" i="11"/>
  <c r="L28" i="11"/>
  <c r="L30" i="12"/>
  <c r="L29" i="12"/>
  <c r="L28" i="12"/>
  <c r="L29" i="13"/>
  <c r="L28" i="13"/>
  <c r="L27" i="13"/>
  <c r="O29" i="10"/>
  <c r="O28" i="10"/>
  <c r="O27" i="10"/>
  <c r="N29" i="4"/>
  <c r="N28" i="4"/>
  <c r="N27" i="4"/>
  <c r="S29" i="54"/>
  <c r="S28" i="54"/>
  <c r="S27" i="54"/>
  <c r="F28" i="71"/>
  <c r="J23" i="71"/>
  <c r="L24" i="70" l="1"/>
  <c r="L23" i="70"/>
  <c r="L22" i="70"/>
  <c r="L21" i="70"/>
  <c r="L20" i="70"/>
  <c r="L30" i="68"/>
  <c r="L29" i="68"/>
  <c r="L28" i="68"/>
  <c r="L27" i="68"/>
  <c r="L24" i="68"/>
  <c r="L23" i="68"/>
  <c r="L22" i="68"/>
  <c r="L21" i="68"/>
  <c r="L16" i="65"/>
  <c r="L29" i="63"/>
  <c r="L28" i="63"/>
  <c r="L27" i="63"/>
  <c r="L23" i="63"/>
  <c r="L22" i="63"/>
  <c r="L21" i="63"/>
  <c r="L20" i="63"/>
  <c r="L23" i="66"/>
  <c r="L24" i="66"/>
  <c r="L27" i="66"/>
  <c r="L28" i="66"/>
  <c r="L29" i="66"/>
  <c r="L29" i="62"/>
  <c r="L28" i="62"/>
  <c r="L27" i="62"/>
  <c r="L24" i="62"/>
  <c r="L23" i="62"/>
  <c r="L22" i="62"/>
  <c r="L21" i="62"/>
  <c r="L27" i="60"/>
  <c r="L24" i="60"/>
  <c r="L23" i="60"/>
  <c r="L22" i="60"/>
  <c r="L21" i="60"/>
  <c r="L20" i="60"/>
  <c r="L19" i="60"/>
  <c r="L17" i="60"/>
  <c r="L16" i="60"/>
  <c r="L27" i="58"/>
  <c r="L25" i="58"/>
  <c r="L24" i="58"/>
  <c r="L23" i="58"/>
  <c r="L22" i="58"/>
  <c r="L20" i="58"/>
  <c r="L19" i="58"/>
  <c r="L21" i="58"/>
  <c r="L16" i="58"/>
  <c r="L29" i="57"/>
  <c r="L28" i="57"/>
  <c r="L27" i="57"/>
  <c r="L17" i="57"/>
  <c r="L16" i="57"/>
  <c r="L21" i="50"/>
  <c r="L29" i="50"/>
  <c r="L28" i="50"/>
  <c r="L27" i="50"/>
  <c r="L24" i="50"/>
  <c r="L23" i="50"/>
  <c r="L22" i="50"/>
  <c r="L17" i="50"/>
  <c r="L20" i="50"/>
  <c r="L16" i="50"/>
  <c r="L17" i="55"/>
  <c r="L29" i="55"/>
  <c r="L28" i="55"/>
  <c r="L27" i="55"/>
  <c r="L20" i="55"/>
  <c r="L24" i="55"/>
  <c r="L23" i="55"/>
  <c r="L22" i="55"/>
  <c r="L21" i="55"/>
  <c r="L16" i="55"/>
  <c r="L29" i="42"/>
  <c r="L28" i="42"/>
  <c r="L27" i="42"/>
  <c r="L24" i="42"/>
  <c r="L23" i="42"/>
  <c r="L22" i="42"/>
  <c r="L21" i="42"/>
  <c r="L16" i="42"/>
  <c r="L26" i="28"/>
  <c r="L25" i="28"/>
  <c r="L24" i="28"/>
  <c r="L23" i="28"/>
  <c r="L22" i="28"/>
  <c r="L21" i="28"/>
  <c r="L20" i="28"/>
  <c r="L29" i="41"/>
  <c r="L28" i="41"/>
  <c r="L27" i="41"/>
  <c r="L24" i="41"/>
  <c r="L23" i="41"/>
  <c r="L22" i="41"/>
  <c r="L21" i="41"/>
  <c r="L16" i="41"/>
  <c r="L28" i="30" l="1"/>
  <c r="L23" i="30"/>
  <c r="L16" i="30"/>
  <c r="L20" i="31"/>
  <c r="L17" i="31"/>
  <c r="L28" i="31"/>
  <c r="L27" i="31"/>
  <c r="L24" i="31"/>
  <c r="L23" i="31"/>
  <c r="L22" i="31"/>
  <c r="L21" i="31"/>
  <c r="L16" i="31"/>
  <c r="L28" i="34"/>
  <c r="L27" i="34"/>
  <c r="L24" i="34"/>
  <c r="L23" i="34"/>
  <c r="L22" i="34"/>
  <c r="L21" i="34"/>
  <c r="L16" i="34"/>
  <c r="L28" i="33"/>
  <c r="L27" i="33"/>
  <c r="L24" i="33"/>
  <c r="L23" i="33"/>
  <c r="L22" i="33"/>
  <c r="L20" i="33"/>
  <c r="L28" i="27"/>
  <c r="L27" i="27"/>
  <c r="L25" i="27"/>
  <c r="L24" i="27"/>
  <c r="L23" i="27"/>
  <c r="L22" i="27"/>
  <c r="L21" i="27"/>
  <c r="L16" i="27"/>
  <c r="L28" i="35"/>
  <c r="L27" i="35"/>
  <c r="L24" i="35"/>
  <c r="L23" i="35"/>
  <c r="L22" i="35"/>
  <c r="L21" i="35"/>
  <c r="L28" i="43"/>
  <c r="L27" i="43"/>
  <c r="L24" i="43"/>
  <c r="L23" i="43"/>
  <c r="L22" i="43"/>
  <c r="L21" i="43"/>
  <c r="L28" i="29"/>
  <c r="L27" i="29"/>
  <c r="L24" i="29"/>
  <c r="L23" i="29"/>
  <c r="L22" i="29"/>
  <c r="L21" i="29"/>
  <c r="L16" i="29"/>
  <c r="L28" i="36"/>
  <c r="L27" i="36"/>
  <c r="L24" i="36"/>
  <c r="L23" i="36"/>
  <c r="L22" i="36"/>
  <c r="L21" i="36"/>
  <c r="L16" i="36"/>
  <c r="L20" i="37"/>
  <c r="L17" i="37"/>
  <c r="L24" i="37"/>
  <c r="L23" i="37"/>
  <c r="L22" i="37"/>
  <c r="L21" i="37"/>
  <c r="L16" i="37"/>
  <c r="L27" i="38"/>
  <c r="L24" i="38"/>
  <c r="L23" i="38"/>
  <c r="L22" i="38"/>
  <c r="L21" i="38"/>
  <c r="L17" i="38"/>
  <c r="L20" i="38"/>
  <c r="L16" i="38"/>
  <c r="L28" i="23"/>
  <c r="L27" i="23"/>
  <c r="L24" i="23"/>
  <c r="L23" i="23"/>
  <c r="L22" i="23"/>
  <c r="L21" i="23"/>
  <c r="L16" i="23"/>
  <c r="L27" i="39"/>
  <c r="L24" i="39"/>
  <c r="L23" i="39"/>
  <c r="L22" i="39"/>
  <c r="L21" i="39"/>
  <c r="L16" i="39"/>
  <c r="L20" i="15"/>
  <c r="L27" i="15"/>
  <c r="L24" i="15"/>
  <c r="L23" i="15"/>
  <c r="L22" i="15"/>
  <c r="L21" i="15"/>
  <c r="L16" i="15"/>
  <c r="L27" i="40"/>
  <c r="L24" i="40"/>
  <c r="L23" i="40"/>
  <c r="L22" i="40"/>
  <c r="L21" i="40"/>
  <c r="L16" i="40"/>
  <c r="L27" i="14"/>
  <c r="L24" i="14"/>
  <c r="L23" i="14"/>
  <c r="L22" i="14"/>
  <c r="L21" i="14"/>
  <c r="L16" i="14"/>
  <c r="L27" i="16"/>
  <c r="L24" i="16"/>
  <c r="L23" i="16"/>
  <c r="L22" i="16"/>
  <c r="L21" i="16"/>
  <c r="L24" i="17"/>
  <c r="L23" i="17"/>
  <c r="L22" i="17"/>
  <c r="L21" i="17"/>
  <c r="L16" i="17"/>
  <c r="L27" i="7"/>
  <c r="L26" i="7"/>
  <c r="L24" i="7"/>
  <c r="L23" i="7"/>
  <c r="L22" i="7"/>
  <c r="L17" i="7"/>
  <c r="L16" i="7"/>
  <c r="L27" i="46"/>
  <c r="L24" i="46"/>
  <c r="L23" i="46"/>
  <c r="L22" i="46"/>
  <c r="L21" i="46"/>
  <c r="L17" i="19"/>
  <c r="L26" i="18"/>
  <c r="L25" i="18"/>
  <c r="L24" i="19"/>
  <c r="L23" i="19"/>
  <c r="L22" i="19"/>
  <c r="L21" i="19"/>
  <c r="L20" i="19"/>
  <c r="L27" i="18"/>
  <c r="L24" i="18"/>
  <c r="L23" i="18"/>
  <c r="J23" i="18"/>
  <c r="L22" i="18"/>
  <c r="L20" i="18" l="1"/>
  <c r="L19" i="18"/>
  <c r="L18" i="18"/>
  <c r="L17" i="18"/>
  <c r="L16" i="18"/>
  <c r="L27" i="49"/>
  <c r="L24" i="49"/>
  <c r="L23" i="49"/>
  <c r="L27" i="20"/>
  <c r="L24" i="20"/>
  <c r="L26" i="6"/>
  <c r="L25" i="6"/>
  <c r="L24" i="6"/>
  <c r="L23" i="6"/>
  <c r="L22" i="6"/>
  <c r="L20" i="6"/>
  <c r="L17" i="6"/>
  <c r="L27" i="5"/>
  <c r="L27" i="11"/>
  <c r="L26" i="11"/>
  <c r="L25" i="11"/>
  <c r="L24" i="11"/>
  <c r="L18" i="11"/>
  <c r="L16" i="11"/>
  <c r="L23" i="11"/>
  <c r="L27" i="12"/>
  <c r="L26" i="12"/>
  <c r="L25" i="12"/>
  <c r="L24" i="12"/>
  <c r="L20" i="12"/>
  <c r="L23" i="12"/>
  <c r="L26" i="13"/>
  <c r="L25" i="13"/>
  <c r="L24" i="13"/>
  <c r="L23" i="13"/>
  <c r="L22" i="13"/>
  <c r="L17" i="13"/>
  <c r="L21" i="13"/>
  <c r="L20" i="13"/>
  <c r="L19" i="13"/>
  <c r="L18" i="13"/>
  <c r="O26" i="10"/>
  <c r="O25" i="10"/>
  <c r="O24" i="10" l="1"/>
  <c r="O23" i="10"/>
  <c r="N24" i="4"/>
  <c r="N23" i="4"/>
  <c r="S24" i="54"/>
  <c r="S23" i="54"/>
  <c r="L22" i="49" l="1"/>
  <c r="L21" i="49"/>
  <c r="L17" i="49"/>
  <c r="L23" i="52"/>
  <c r="L22" i="52"/>
  <c r="L21" i="52"/>
  <c r="L22" i="20"/>
  <c r="L23" i="20"/>
  <c r="L16" i="20"/>
  <c r="L21" i="6"/>
  <c r="L16" i="6"/>
  <c r="L22" i="11"/>
  <c r="L21" i="11" l="1"/>
  <c r="L20" i="11"/>
  <c r="L19" i="11"/>
  <c r="L17" i="11"/>
  <c r="L23" i="5"/>
  <c r="L22" i="5"/>
  <c r="L21" i="5"/>
  <c r="L22" i="12"/>
  <c r="L21" i="12"/>
  <c r="L17" i="33"/>
  <c r="L16" i="33"/>
  <c r="L17" i="70"/>
  <c r="L16" i="70"/>
  <c r="L20" i="68"/>
  <c r="L17" i="68"/>
  <c r="L16" i="68"/>
  <c r="L17" i="66"/>
  <c r="L16" i="66"/>
  <c r="L17" i="35"/>
  <c r="L16" i="35"/>
  <c r="L17" i="17"/>
  <c r="L20" i="62"/>
  <c r="L17" i="62"/>
  <c r="L16" i="62"/>
  <c r="L17" i="63"/>
  <c r="L16" i="63"/>
  <c r="L17" i="43"/>
  <c r="L16" i="43"/>
  <c r="L17" i="28"/>
  <c r="L16" i="28"/>
  <c r="L20" i="46"/>
  <c r="L17" i="46"/>
  <c r="L16" i="46"/>
  <c r="L17" i="16"/>
  <c r="L16" i="16"/>
  <c r="L16" i="49"/>
  <c r="L20" i="52"/>
  <c r="L17" i="52"/>
  <c r="L16" i="52"/>
  <c r="O22" i="10"/>
  <c r="O21" i="10"/>
  <c r="N21" i="4" l="1"/>
  <c r="S21" i="54"/>
  <c r="L16" i="13" l="1"/>
  <c r="O20" i="10" l="1"/>
  <c r="O17" i="10"/>
  <c r="M17" i="10"/>
  <c r="O16" i="10"/>
  <c r="F184" i="64" l="1"/>
  <c r="J87" i="64"/>
  <c r="I87" i="64"/>
  <c r="G87" i="64"/>
  <c r="R12" i="12"/>
  <c r="R12" i="11"/>
  <c r="R12" i="5"/>
  <c r="R12" i="6"/>
  <c r="R12" i="20"/>
  <c r="R12" i="52"/>
  <c r="R12" i="32"/>
  <c r="R12" i="49"/>
  <c r="R12" i="18"/>
  <c r="R12" i="19"/>
  <c r="R12" i="46"/>
  <c r="R12" i="7"/>
  <c r="R12" i="17"/>
  <c r="R12" i="16"/>
  <c r="R12" i="14"/>
  <c r="R12" i="40"/>
  <c r="R12" i="15"/>
  <c r="R12" i="39"/>
  <c r="R12" i="23"/>
  <c r="R12" i="38"/>
  <c r="R12" i="37"/>
  <c r="R12" i="36"/>
  <c r="R12" i="29"/>
  <c r="R12" i="43"/>
  <c r="R12" i="35"/>
  <c r="R12" i="27"/>
  <c r="R12" i="26"/>
  <c r="R12" i="33"/>
  <c r="R12" i="34"/>
  <c r="R12" i="31"/>
  <c r="R12" i="30"/>
  <c r="R12" i="41"/>
  <c r="R12" i="28"/>
  <c r="R12" i="42"/>
  <c r="R12" i="55"/>
  <c r="R12" i="50"/>
  <c r="R12" i="57"/>
  <c r="R12" i="58"/>
  <c r="R12" i="60"/>
  <c r="R12" i="62"/>
  <c r="R12" i="59"/>
  <c r="R12" i="66"/>
  <c r="R12" i="67"/>
  <c r="R12" i="63"/>
  <c r="R12" i="65"/>
  <c r="R12" i="68"/>
  <c r="R12" i="70"/>
  <c r="R12" i="71"/>
  <c r="R12" i="73"/>
  <c r="R12" i="13"/>
  <c r="M12" i="12"/>
  <c r="M12" i="11"/>
  <c r="M12" i="5"/>
  <c r="M12" i="6"/>
  <c r="M12" i="20"/>
  <c r="M12" i="52"/>
  <c r="M12" i="32"/>
  <c r="M12" i="49"/>
  <c r="M12" i="18"/>
  <c r="M12" i="19"/>
  <c r="M12" i="46"/>
  <c r="M12" i="7"/>
  <c r="M12" i="17"/>
  <c r="M12" i="16"/>
  <c r="M12" i="14"/>
  <c r="M12" i="40"/>
  <c r="M12" i="15"/>
  <c r="M12" i="39"/>
  <c r="M12" i="23"/>
  <c r="M12" i="38"/>
  <c r="M12" i="37"/>
  <c r="M12" i="36"/>
  <c r="M12" i="29"/>
  <c r="M12" i="43"/>
  <c r="M12" i="35"/>
  <c r="M12" i="27"/>
  <c r="M12" i="26"/>
  <c r="M12" i="33"/>
  <c r="M12" i="34"/>
  <c r="M12" i="31"/>
  <c r="M12" i="30"/>
  <c r="M12" i="41"/>
  <c r="M12" i="28"/>
  <c r="M12" i="42"/>
  <c r="M12" i="55"/>
  <c r="M12" i="50"/>
  <c r="M12" i="57"/>
  <c r="M12" i="58"/>
  <c r="M12" i="60"/>
  <c r="M12" i="62"/>
  <c r="M12" i="59"/>
  <c r="M12" i="66"/>
  <c r="M12" i="67"/>
  <c r="M12" i="63"/>
  <c r="M12" i="65"/>
  <c r="M12" i="68"/>
  <c r="M12" i="70"/>
  <c r="M12" i="71"/>
  <c r="M12" i="73"/>
  <c r="M12" i="13"/>
  <c r="U12" i="10"/>
  <c r="P12" i="10"/>
  <c r="T12" i="4"/>
  <c r="O12" i="4"/>
  <c r="P48" i="73"/>
  <c r="O48" i="73"/>
  <c r="M48" i="73"/>
  <c r="G88" i="64" s="1"/>
  <c r="L48" i="73"/>
  <c r="F88" i="64" s="1"/>
  <c r="K48" i="73"/>
  <c r="E88" i="64" s="1"/>
  <c r="I48" i="73"/>
  <c r="H48" i="73"/>
  <c r="G48" i="73"/>
  <c r="E48" i="73"/>
  <c r="D48" i="73"/>
  <c r="N46" i="73"/>
  <c r="Q46" i="73" s="1"/>
  <c r="R46" i="73" s="1"/>
  <c r="J46" i="73"/>
  <c r="F46" i="73"/>
  <c r="N45" i="73"/>
  <c r="Q45" i="73" s="1"/>
  <c r="R45" i="73" s="1"/>
  <c r="J45" i="73"/>
  <c r="F45" i="73"/>
  <c r="N44" i="73"/>
  <c r="Q44" i="73" s="1"/>
  <c r="R44" i="73" s="1"/>
  <c r="J44" i="73"/>
  <c r="F44" i="73"/>
  <c r="N43" i="73"/>
  <c r="Q43" i="73" s="1"/>
  <c r="R43" i="73" s="1"/>
  <c r="J43" i="73"/>
  <c r="F43" i="73"/>
  <c r="N42" i="73"/>
  <c r="Q42" i="73" s="1"/>
  <c r="R42" i="73" s="1"/>
  <c r="J42" i="73"/>
  <c r="F42" i="73"/>
  <c r="N41" i="73"/>
  <c r="Q41" i="73" s="1"/>
  <c r="R41" i="73" s="1"/>
  <c r="J41" i="73"/>
  <c r="F41" i="73"/>
  <c r="Q40" i="73"/>
  <c r="R40" i="73" s="1"/>
  <c r="N40" i="73"/>
  <c r="J40" i="73"/>
  <c r="F40" i="73"/>
  <c r="N39" i="73"/>
  <c r="Q39" i="73" s="1"/>
  <c r="R39" i="73" s="1"/>
  <c r="J39" i="73"/>
  <c r="F39" i="73"/>
  <c r="N38" i="73"/>
  <c r="Q38" i="73" s="1"/>
  <c r="R38" i="73" s="1"/>
  <c r="J38" i="73"/>
  <c r="F38" i="73"/>
  <c r="N37" i="73"/>
  <c r="Q37" i="73" s="1"/>
  <c r="R37" i="73" s="1"/>
  <c r="J37" i="73"/>
  <c r="F37" i="73"/>
  <c r="N36" i="73"/>
  <c r="Q36" i="73" s="1"/>
  <c r="R36" i="73" s="1"/>
  <c r="J36" i="73"/>
  <c r="F36" i="73"/>
  <c r="N35" i="73"/>
  <c r="Q35" i="73" s="1"/>
  <c r="R35" i="73" s="1"/>
  <c r="J35" i="73"/>
  <c r="F35" i="73"/>
  <c r="N34" i="73"/>
  <c r="Q34" i="73" s="1"/>
  <c r="R34" i="73" s="1"/>
  <c r="J34" i="73"/>
  <c r="F34" i="73"/>
  <c r="N33" i="73"/>
  <c r="Q33" i="73" s="1"/>
  <c r="R33" i="73" s="1"/>
  <c r="J33" i="73"/>
  <c r="F33" i="73"/>
  <c r="N32" i="73"/>
  <c r="Q32" i="73" s="1"/>
  <c r="R32" i="73" s="1"/>
  <c r="J32" i="73"/>
  <c r="F32" i="73"/>
  <c r="N31" i="73"/>
  <c r="Q31" i="73" s="1"/>
  <c r="R31" i="73" s="1"/>
  <c r="J31" i="73"/>
  <c r="F31" i="73"/>
  <c r="N30" i="73"/>
  <c r="Q30" i="73" s="1"/>
  <c r="R30" i="73" s="1"/>
  <c r="J30" i="73"/>
  <c r="F30" i="73"/>
  <c r="N29" i="73"/>
  <c r="Q29" i="73" s="1"/>
  <c r="R29" i="73" s="1"/>
  <c r="J29" i="73"/>
  <c r="F29" i="73"/>
  <c r="N28" i="73"/>
  <c r="Q28" i="73" s="1"/>
  <c r="R28" i="73" s="1"/>
  <c r="J28" i="73"/>
  <c r="F28" i="73"/>
  <c r="N27" i="73"/>
  <c r="Q27" i="73" s="1"/>
  <c r="R27" i="73" s="1"/>
  <c r="J27" i="73"/>
  <c r="F27" i="73"/>
  <c r="N26" i="73"/>
  <c r="Q26" i="73" s="1"/>
  <c r="R26" i="73" s="1"/>
  <c r="J26" i="73"/>
  <c r="F26" i="73"/>
  <c r="N25" i="73"/>
  <c r="Q25" i="73" s="1"/>
  <c r="R25" i="73" s="1"/>
  <c r="J25" i="73"/>
  <c r="F25" i="73"/>
  <c r="N24" i="73"/>
  <c r="Q24" i="73" s="1"/>
  <c r="R24" i="73" s="1"/>
  <c r="J24" i="73"/>
  <c r="F24" i="73"/>
  <c r="N23" i="73"/>
  <c r="Q23" i="73" s="1"/>
  <c r="R23" i="73" s="1"/>
  <c r="J23" i="73"/>
  <c r="F23" i="73"/>
  <c r="N22" i="73"/>
  <c r="Q22" i="73" s="1"/>
  <c r="R22" i="73" s="1"/>
  <c r="J22" i="73"/>
  <c r="F22" i="73"/>
  <c r="N21" i="73"/>
  <c r="Q21" i="73" s="1"/>
  <c r="R21" i="73" s="1"/>
  <c r="J21" i="73"/>
  <c r="F21" i="73"/>
  <c r="N20" i="73"/>
  <c r="Q20" i="73" s="1"/>
  <c r="R20" i="73" s="1"/>
  <c r="J20" i="73"/>
  <c r="F20" i="73"/>
  <c r="N19" i="73"/>
  <c r="Q19" i="73" s="1"/>
  <c r="R19" i="73" s="1"/>
  <c r="J19" i="73"/>
  <c r="F19" i="73"/>
  <c r="N18" i="73"/>
  <c r="Q18" i="73" s="1"/>
  <c r="R18" i="73" s="1"/>
  <c r="J18" i="73"/>
  <c r="F18" i="73"/>
  <c r="N17" i="73"/>
  <c r="J17" i="73"/>
  <c r="F17" i="73"/>
  <c r="N16" i="73"/>
  <c r="Q16" i="73" s="1"/>
  <c r="J16" i="73"/>
  <c r="J48" i="73" s="1"/>
  <c r="F16" i="73"/>
  <c r="F48" i="73" s="1"/>
  <c r="H88" i="64" l="1"/>
  <c r="K88" i="64" s="1"/>
  <c r="L88" i="64" s="1"/>
  <c r="M88" i="64" s="1"/>
  <c r="N50" i="73"/>
  <c r="N48" i="73"/>
  <c r="R16" i="73"/>
  <c r="Q17" i="73"/>
  <c r="R17" i="73" s="1"/>
  <c r="D185" i="64" l="1"/>
  <c r="G185" i="64" s="1"/>
  <c r="Q48" i="73"/>
  <c r="R50" i="73" s="1"/>
  <c r="R48" i="73"/>
  <c r="R52" i="73" l="1"/>
  <c r="E38" i="9"/>
  <c r="N20" i="4"/>
  <c r="N17" i="4"/>
  <c r="N16" i="4"/>
  <c r="S20" i="54"/>
  <c r="S17" i="54"/>
  <c r="S16" i="54"/>
  <c r="L16" i="5" l="1"/>
  <c r="L16" i="12"/>
  <c r="Q40" i="71" l="1"/>
  <c r="Q38" i="71"/>
  <c r="Q33" i="71"/>
  <c r="Q27" i="71"/>
  <c r="Q25" i="71"/>
  <c r="R25" i="71" s="1"/>
  <c r="Q21" i="71"/>
  <c r="N46" i="71"/>
  <c r="Q46" i="71" s="1"/>
  <c r="N45" i="71"/>
  <c r="Q45" i="71" s="1"/>
  <c r="N44" i="71"/>
  <c r="Q44" i="71" s="1"/>
  <c r="N43" i="71"/>
  <c r="Q43" i="71" s="1"/>
  <c r="N42" i="71"/>
  <c r="Q42" i="71" s="1"/>
  <c r="N41" i="71"/>
  <c r="Q41" i="71" s="1"/>
  <c r="N40" i="71"/>
  <c r="N39" i="71"/>
  <c r="Q39" i="71" s="1"/>
  <c r="N38" i="71"/>
  <c r="N37" i="71"/>
  <c r="Q37" i="71" s="1"/>
  <c r="N36" i="71"/>
  <c r="Q36" i="71" s="1"/>
  <c r="N35" i="71"/>
  <c r="Q35" i="71" s="1"/>
  <c r="N34" i="71"/>
  <c r="Q34" i="71" s="1"/>
  <c r="N33" i="71"/>
  <c r="N32" i="71"/>
  <c r="Q32" i="71" s="1"/>
  <c r="N31" i="71"/>
  <c r="Q31" i="71" s="1"/>
  <c r="N30" i="71"/>
  <c r="Q30" i="71" s="1"/>
  <c r="N29" i="71"/>
  <c r="Q29" i="71" s="1"/>
  <c r="N28" i="71"/>
  <c r="Q28" i="71" s="1"/>
  <c r="N27" i="71"/>
  <c r="N26" i="71"/>
  <c r="Q26" i="71" s="1"/>
  <c r="N25" i="71"/>
  <c r="N24" i="71"/>
  <c r="Q24" i="71" s="1"/>
  <c r="N23" i="71"/>
  <c r="Q23" i="71" s="1"/>
  <c r="N22" i="71"/>
  <c r="Q22" i="71" s="1"/>
  <c r="N21" i="71"/>
  <c r="N20" i="71"/>
  <c r="Q20" i="71" s="1"/>
  <c r="N19" i="71"/>
  <c r="Q19" i="71" s="1"/>
  <c r="N18" i="71"/>
  <c r="Q18" i="71" s="1"/>
  <c r="N17" i="71"/>
  <c r="Q17" i="71" s="1"/>
  <c r="J46" i="71"/>
  <c r="J45" i="71"/>
  <c r="J44" i="71"/>
  <c r="J43" i="71"/>
  <c r="J42" i="71"/>
  <c r="J41" i="71"/>
  <c r="J40" i="71"/>
  <c r="J39" i="71"/>
  <c r="J38" i="71"/>
  <c r="J37" i="71"/>
  <c r="J36" i="71"/>
  <c r="J35" i="71"/>
  <c r="J34" i="71"/>
  <c r="J33" i="71"/>
  <c r="J32" i="71"/>
  <c r="J31" i="71"/>
  <c r="J30" i="71"/>
  <c r="J29" i="71"/>
  <c r="J28" i="71"/>
  <c r="J27" i="71"/>
  <c r="J26" i="71"/>
  <c r="J25" i="71"/>
  <c r="J24" i="71"/>
  <c r="J22" i="71"/>
  <c r="J21" i="71"/>
  <c r="J20" i="71"/>
  <c r="J19" i="71"/>
  <c r="J18" i="71"/>
  <c r="J17" i="71"/>
  <c r="F46" i="71"/>
  <c r="F45" i="71"/>
  <c r="F44" i="71"/>
  <c r="F43" i="71"/>
  <c r="F42" i="71"/>
  <c r="F41" i="71"/>
  <c r="F40" i="71"/>
  <c r="F39" i="71"/>
  <c r="F38" i="71"/>
  <c r="F37" i="71"/>
  <c r="F36" i="71"/>
  <c r="F35" i="71"/>
  <c r="F34" i="71"/>
  <c r="F33" i="71"/>
  <c r="F32" i="71"/>
  <c r="F31" i="71"/>
  <c r="F30" i="71"/>
  <c r="F29" i="71"/>
  <c r="F27" i="71"/>
  <c r="F26" i="71"/>
  <c r="F25" i="71"/>
  <c r="F24" i="71"/>
  <c r="F23" i="71"/>
  <c r="F22" i="71"/>
  <c r="F21" i="71"/>
  <c r="F20" i="71"/>
  <c r="F19" i="71"/>
  <c r="F18" i="71"/>
  <c r="F17" i="71"/>
  <c r="J46" i="70"/>
  <c r="J45" i="70"/>
  <c r="J44" i="70"/>
  <c r="J43" i="70"/>
  <c r="J42" i="70"/>
  <c r="J41" i="70"/>
  <c r="J40" i="70"/>
  <c r="J39" i="70"/>
  <c r="J38" i="70"/>
  <c r="J37" i="70"/>
  <c r="J36" i="70"/>
  <c r="J35" i="70"/>
  <c r="J34" i="70"/>
  <c r="J33" i="70"/>
  <c r="J32" i="70"/>
  <c r="J31" i="70"/>
  <c r="J30" i="70"/>
  <c r="J29" i="70"/>
  <c r="J28" i="70"/>
  <c r="J27" i="70"/>
  <c r="J26" i="70"/>
  <c r="J25" i="70"/>
  <c r="J24" i="70"/>
  <c r="J23" i="70"/>
  <c r="J22" i="70"/>
  <c r="J21" i="70"/>
  <c r="J20" i="70"/>
  <c r="J19" i="70"/>
  <c r="J18" i="70"/>
  <c r="J17" i="70"/>
  <c r="F46" i="70"/>
  <c r="F45" i="70"/>
  <c r="F44" i="70"/>
  <c r="F43" i="70"/>
  <c r="F42" i="70"/>
  <c r="F41" i="70"/>
  <c r="F40" i="70"/>
  <c r="F39" i="70"/>
  <c r="F38" i="70"/>
  <c r="F37" i="70"/>
  <c r="F36" i="70"/>
  <c r="F35" i="70"/>
  <c r="F34" i="70"/>
  <c r="F33" i="70"/>
  <c r="F32" i="70"/>
  <c r="F31" i="70"/>
  <c r="F30" i="70"/>
  <c r="F29" i="70"/>
  <c r="F28" i="70"/>
  <c r="F27" i="70"/>
  <c r="F26" i="70"/>
  <c r="F25" i="70"/>
  <c r="F24" i="70"/>
  <c r="F23" i="70"/>
  <c r="F22" i="70"/>
  <c r="F21" i="70"/>
  <c r="F20" i="70"/>
  <c r="F19" i="70"/>
  <c r="F18" i="70"/>
  <c r="F17" i="70"/>
  <c r="Q44" i="68"/>
  <c r="Q40" i="68"/>
  <c r="Q33" i="68"/>
  <c r="Q29" i="68"/>
  <c r="Q25" i="68"/>
  <c r="Q24" i="68"/>
  <c r="Q21" i="68"/>
  <c r="Q20" i="68"/>
  <c r="N46" i="68"/>
  <c r="Q46" i="68" s="1"/>
  <c r="N45" i="68"/>
  <c r="Q45" i="68" s="1"/>
  <c r="N44" i="68"/>
  <c r="N43" i="68"/>
  <c r="Q43" i="68" s="1"/>
  <c r="N42" i="68"/>
  <c r="Q42" i="68" s="1"/>
  <c r="N41" i="68"/>
  <c r="Q41" i="68" s="1"/>
  <c r="N40" i="68"/>
  <c r="N39" i="68"/>
  <c r="Q39" i="68" s="1"/>
  <c r="N38" i="68"/>
  <c r="Q38" i="68" s="1"/>
  <c r="N37" i="68"/>
  <c r="Q37" i="68" s="1"/>
  <c r="N36" i="68"/>
  <c r="Q36" i="68" s="1"/>
  <c r="N35" i="68"/>
  <c r="Q35" i="68" s="1"/>
  <c r="N34" i="68"/>
  <c r="Q34" i="68" s="1"/>
  <c r="N33" i="68"/>
  <c r="N32" i="68"/>
  <c r="Q32" i="68" s="1"/>
  <c r="N31" i="68"/>
  <c r="Q31" i="68" s="1"/>
  <c r="N30" i="68"/>
  <c r="Q30" i="68" s="1"/>
  <c r="N29" i="68"/>
  <c r="N28" i="68"/>
  <c r="Q28" i="68" s="1"/>
  <c r="N27" i="68"/>
  <c r="Q27" i="68" s="1"/>
  <c r="R27" i="68" s="1"/>
  <c r="N26" i="68"/>
  <c r="Q26" i="68" s="1"/>
  <c r="N25" i="68"/>
  <c r="N24" i="68"/>
  <c r="N23" i="68"/>
  <c r="Q23" i="68" s="1"/>
  <c r="N22" i="68"/>
  <c r="Q22" i="68" s="1"/>
  <c r="N21" i="68"/>
  <c r="N20" i="68"/>
  <c r="N19" i="68"/>
  <c r="Q19" i="68" s="1"/>
  <c r="N18" i="68"/>
  <c r="Q18" i="68" s="1"/>
  <c r="N17" i="68"/>
  <c r="Q17" i="68" s="1"/>
  <c r="J46" i="68"/>
  <c r="J45" i="68"/>
  <c r="J44" i="68"/>
  <c r="J43" i="68"/>
  <c r="J42" i="68"/>
  <c r="J41" i="68"/>
  <c r="J40" i="68"/>
  <c r="J39" i="68"/>
  <c r="J38" i="68"/>
  <c r="J37" i="68"/>
  <c r="J36" i="68"/>
  <c r="J35" i="68"/>
  <c r="J34" i="68"/>
  <c r="J33" i="68"/>
  <c r="J32" i="68"/>
  <c r="J31" i="68"/>
  <c r="J30" i="68"/>
  <c r="J29" i="68"/>
  <c r="J28" i="68"/>
  <c r="J27" i="68"/>
  <c r="J26" i="68"/>
  <c r="J25" i="68"/>
  <c r="J24" i="68"/>
  <c r="J23" i="68"/>
  <c r="J22" i="68"/>
  <c r="J21" i="68"/>
  <c r="J20" i="68"/>
  <c r="J19" i="68"/>
  <c r="J18" i="68"/>
  <c r="J17" i="68"/>
  <c r="F46" i="68"/>
  <c r="F45" i="68"/>
  <c r="F44" i="68"/>
  <c r="F43" i="68"/>
  <c r="F42" i="68"/>
  <c r="F41" i="68"/>
  <c r="F40" i="68"/>
  <c r="F39" i="68"/>
  <c r="F38" i="68"/>
  <c r="F37" i="68"/>
  <c r="F36" i="68"/>
  <c r="F35" i="68"/>
  <c r="F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Q44" i="65"/>
  <c r="Q39" i="65"/>
  <c r="Q32" i="65"/>
  <c r="Q19" i="65"/>
  <c r="Q18" i="65"/>
  <c r="R18" i="65" s="1"/>
  <c r="N46" i="65"/>
  <c r="Q46" i="65" s="1"/>
  <c r="N45" i="65"/>
  <c r="Q45" i="65" s="1"/>
  <c r="N44" i="65"/>
  <c r="N43" i="65"/>
  <c r="Q43" i="65" s="1"/>
  <c r="N42" i="65"/>
  <c r="Q42" i="65" s="1"/>
  <c r="N41" i="65"/>
  <c r="Q41" i="65" s="1"/>
  <c r="N40" i="65"/>
  <c r="Q40" i="65" s="1"/>
  <c r="N39" i="65"/>
  <c r="N38" i="65"/>
  <c r="Q38" i="65" s="1"/>
  <c r="N37" i="65"/>
  <c r="Q37" i="65" s="1"/>
  <c r="N36" i="65"/>
  <c r="Q36" i="65" s="1"/>
  <c r="N35" i="65"/>
  <c r="Q35" i="65" s="1"/>
  <c r="N34" i="65"/>
  <c r="Q34" i="65" s="1"/>
  <c r="N33" i="65"/>
  <c r="Q33" i="65" s="1"/>
  <c r="N32" i="65"/>
  <c r="N31" i="65"/>
  <c r="Q31" i="65" s="1"/>
  <c r="N30" i="65"/>
  <c r="Q30" i="65" s="1"/>
  <c r="N29" i="65"/>
  <c r="Q29" i="65" s="1"/>
  <c r="N28" i="65"/>
  <c r="Q28" i="65" s="1"/>
  <c r="N27" i="65"/>
  <c r="Q27" i="65" s="1"/>
  <c r="N26" i="65"/>
  <c r="Q26" i="65" s="1"/>
  <c r="N25" i="65"/>
  <c r="Q25" i="65" s="1"/>
  <c r="N24" i="65"/>
  <c r="Q24" i="65" s="1"/>
  <c r="N23" i="65"/>
  <c r="Q23" i="65" s="1"/>
  <c r="N22" i="65"/>
  <c r="Q22" i="65" s="1"/>
  <c r="N21" i="65"/>
  <c r="Q21" i="65" s="1"/>
  <c r="N20" i="65"/>
  <c r="Q20" i="65" s="1"/>
  <c r="N19" i="65"/>
  <c r="N18" i="65"/>
  <c r="N17" i="65"/>
  <c r="Q17" i="65" s="1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Q43" i="63"/>
  <c r="Q40" i="63"/>
  <c r="Q33" i="63"/>
  <c r="Q32" i="63"/>
  <c r="Q26" i="63"/>
  <c r="Q22" i="63"/>
  <c r="Q19" i="63"/>
  <c r="N46" i="63"/>
  <c r="Q46" i="63" s="1"/>
  <c r="N45" i="63"/>
  <c r="Q45" i="63" s="1"/>
  <c r="N44" i="63"/>
  <c r="Q44" i="63" s="1"/>
  <c r="N43" i="63"/>
  <c r="N42" i="63"/>
  <c r="Q42" i="63" s="1"/>
  <c r="N41" i="63"/>
  <c r="Q41" i="63" s="1"/>
  <c r="N40" i="63"/>
  <c r="N39" i="63"/>
  <c r="Q39" i="63" s="1"/>
  <c r="N38" i="63"/>
  <c r="Q38" i="63" s="1"/>
  <c r="N37" i="63"/>
  <c r="Q37" i="63" s="1"/>
  <c r="N36" i="63"/>
  <c r="Q36" i="63" s="1"/>
  <c r="N35" i="63"/>
  <c r="Q35" i="63" s="1"/>
  <c r="N34" i="63"/>
  <c r="Q34" i="63" s="1"/>
  <c r="N33" i="63"/>
  <c r="N32" i="63"/>
  <c r="N31" i="63"/>
  <c r="Q31" i="63" s="1"/>
  <c r="N30" i="63"/>
  <c r="Q30" i="63" s="1"/>
  <c r="N29" i="63"/>
  <c r="Q29" i="63" s="1"/>
  <c r="R29" i="63" s="1"/>
  <c r="N28" i="63"/>
  <c r="Q28" i="63" s="1"/>
  <c r="N27" i="63"/>
  <c r="Q27" i="63" s="1"/>
  <c r="N26" i="63"/>
  <c r="N25" i="63"/>
  <c r="Q25" i="63" s="1"/>
  <c r="N24" i="63"/>
  <c r="Q24" i="63" s="1"/>
  <c r="N23" i="63"/>
  <c r="Q23" i="63" s="1"/>
  <c r="N22" i="63"/>
  <c r="N21" i="63"/>
  <c r="Q21" i="63" s="1"/>
  <c r="N20" i="63"/>
  <c r="Q20" i="63" s="1"/>
  <c r="N19" i="63"/>
  <c r="N18" i="63"/>
  <c r="Q18" i="63" s="1"/>
  <c r="N17" i="63"/>
  <c r="Q17" i="63" s="1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29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Q28" i="67"/>
  <c r="Q24" i="67"/>
  <c r="Q18" i="67"/>
  <c r="N46" i="67"/>
  <c r="Q46" i="67" s="1"/>
  <c r="N45" i="67"/>
  <c r="Q45" i="67" s="1"/>
  <c r="N44" i="67"/>
  <c r="Q44" i="67" s="1"/>
  <c r="N43" i="67"/>
  <c r="Q43" i="67" s="1"/>
  <c r="N42" i="67"/>
  <c r="Q42" i="67" s="1"/>
  <c r="N41" i="67"/>
  <c r="Q41" i="67" s="1"/>
  <c r="N40" i="67"/>
  <c r="Q40" i="67" s="1"/>
  <c r="N39" i="67"/>
  <c r="Q39" i="67" s="1"/>
  <c r="N38" i="67"/>
  <c r="Q38" i="67" s="1"/>
  <c r="N37" i="67"/>
  <c r="Q37" i="67" s="1"/>
  <c r="N36" i="67"/>
  <c r="Q36" i="67" s="1"/>
  <c r="N35" i="67"/>
  <c r="Q35" i="67" s="1"/>
  <c r="N34" i="67"/>
  <c r="Q34" i="67" s="1"/>
  <c r="N33" i="67"/>
  <c r="Q33" i="67" s="1"/>
  <c r="N32" i="67"/>
  <c r="Q32" i="67" s="1"/>
  <c r="N31" i="67"/>
  <c r="Q31" i="67" s="1"/>
  <c r="N30" i="67"/>
  <c r="Q30" i="67" s="1"/>
  <c r="N29" i="67"/>
  <c r="Q29" i="67" s="1"/>
  <c r="N28" i="67"/>
  <c r="N27" i="67"/>
  <c r="Q27" i="67" s="1"/>
  <c r="N26" i="67"/>
  <c r="Q26" i="67" s="1"/>
  <c r="N25" i="67"/>
  <c r="Q25" i="67" s="1"/>
  <c r="N24" i="67"/>
  <c r="N23" i="67"/>
  <c r="Q23" i="67" s="1"/>
  <c r="N22" i="67"/>
  <c r="Q22" i="67" s="1"/>
  <c r="N21" i="67"/>
  <c r="Q21" i="67" s="1"/>
  <c r="N20" i="67"/>
  <c r="Q20" i="67" s="1"/>
  <c r="N19" i="67"/>
  <c r="Q19" i="67" s="1"/>
  <c r="N18" i="67"/>
  <c r="N17" i="67"/>
  <c r="Q17" i="67" s="1"/>
  <c r="J46" i="67"/>
  <c r="J45" i="67"/>
  <c r="J44" i="67"/>
  <c r="J43" i="67"/>
  <c r="J42" i="67"/>
  <c r="J41" i="67"/>
  <c r="J40" i="67"/>
  <c r="J39" i="67"/>
  <c r="J38" i="67"/>
  <c r="J37" i="67"/>
  <c r="J36" i="67"/>
  <c r="J35" i="67"/>
  <c r="J34" i="67"/>
  <c r="J33" i="67"/>
  <c r="J32" i="67"/>
  <c r="J31" i="67"/>
  <c r="J30" i="67"/>
  <c r="J29" i="67"/>
  <c r="J28" i="67"/>
  <c r="J27" i="67"/>
  <c r="J26" i="67"/>
  <c r="J25" i="67"/>
  <c r="J24" i="67"/>
  <c r="J23" i="67"/>
  <c r="J22" i="67"/>
  <c r="J21" i="67"/>
  <c r="J20" i="67"/>
  <c r="J19" i="67"/>
  <c r="J18" i="67"/>
  <c r="J17" i="67"/>
  <c r="F46" i="67"/>
  <c r="F45" i="67"/>
  <c r="F44" i="67"/>
  <c r="F43" i="67"/>
  <c r="F42" i="67"/>
  <c r="F41" i="67"/>
  <c r="F40" i="67"/>
  <c r="F39" i="67"/>
  <c r="F38" i="67"/>
  <c r="F37" i="67"/>
  <c r="F36" i="67"/>
  <c r="F35" i="67"/>
  <c r="F34" i="67"/>
  <c r="F33" i="67"/>
  <c r="F32" i="67"/>
  <c r="F31" i="67"/>
  <c r="F30" i="67"/>
  <c r="F29" i="67"/>
  <c r="F28" i="67"/>
  <c r="F27" i="67"/>
  <c r="F26" i="67"/>
  <c r="F25" i="67"/>
  <c r="F24" i="67"/>
  <c r="F23" i="67"/>
  <c r="F22" i="67"/>
  <c r="F21" i="67"/>
  <c r="F20" i="67"/>
  <c r="F19" i="67"/>
  <c r="F18" i="67"/>
  <c r="F17" i="67"/>
  <c r="Q46" i="66"/>
  <c r="Q38" i="66"/>
  <c r="Q34" i="66"/>
  <c r="Q33" i="66"/>
  <c r="Q26" i="66"/>
  <c r="Q25" i="66"/>
  <c r="Q22" i="66"/>
  <c r="Q18" i="66"/>
  <c r="N46" i="66"/>
  <c r="N45" i="66"/>
  <c r="Q45" i="66" s="1"/>
  <c r="N44" i="66"/>
  <c r="Q44" i="66" s="1"/>
  <c r="N43" i="66"/>
  <c r="Q43" i="66" s="1"/>
  <c r="N42" i="66"/>
  <c r="Q42" i="66" s="1"/>
  <c r="N41" i="66"/>
  <c r="Q41" i="66" s="1"/>
  <c r="N40" i="66"/>
  <c r="Q40" i="66" s="1"/>
  <c r="N39" i="66"/>
  <c r="Q39" i="66" s="1"/>
  <c r="N38" i="66"/>
  <c r="N37" i="66"/>
  <c r="Q37" i="66" s="1"/>
  <c r="N36" i="66"/>
  <c r="Q36" i="66" s="1"/>
  <c r="N35" i="66"/>
  <c r="Q35" i="66" s="1"/>
  <c r="N34" i="66"/>
  <c r="N33" i="66"/>
  <c r="N32" i="66"/>
  <c r="Q32" i="66" s="1"/>
  <c r="N31" i="66"/>
  <c r="Q31" i="66" s="1"/>
  <c r="N30" i="66"/>
  <c r="Q30" i="66" s="1"/>
  <c r="N29" i="66"/>
  <c r="Q29" i="66" s="1"/>
  <c r="N28" i="66"/>
  <c r="Q28" i="66" s="1"/>
  <c r="N27" i="66"/>
  <c r="Q27" i="66" s="1"/>
  <c r="N26" i="66"/>
  <c r="N25" i="66"/>
  <c r="N24" i="66"/>
  <c r="Q24" i="66" s="1"/>
  <c r="N23" i="66"/>
  <c r="Q23" i="66" s="1"/>
  <c r="N22" i="66"/>
  <c r="N21" i="66"/>
  <c r="Q21" i="66" s="1"/>
  <c r="N20" i="66"/>
  <c r="Q20" i="66" s="1"/>
  <c r="N19" i="66"/>
  <c r="Q19" i="66" s="1"/>
  <c r="N18" i="66"/>
  <c r="N17" i="66"/>
  <c r="Q17" i="66" s="1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F46" i="66"/>
  <c r="F45" i="66"/>
  <c r="F44" i="66"/>
  <c r="F43" i="66"/>
  <c r="F42" i="66"/>
  <c r="F41" i="66"/>
  <c r="F40" i="66"/>
  <c r="F39" i="66"/>
  <c r="F38" i="66"/>
  <c r="F37" i="66"/>
  <c r="F36" i="66"/>
  <c r="F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Q40" i="59"/>
  <c r="Q39" i="59"/>
  <c r="Q32" i="59"/>
  <c r="Q19" i="59"/>
  <c r="N46" i="59"/>
  <c r="Q46" i="59" s="1"/>
  <c r="N45" i="59"/>
  <c r="Q45" i="59" s="1"/>
  <c r="N44" i="59"/>
  <c r="Q44" i="59" s="1"/>
  <c r="N43" i="59"/>
  <c r="Q43" i="59" s="1"/>
  <c r="N42" i="59"/>
  <c r="Q42" i="59" s="1"/>
  <c r="N41" i="59"/>
  <c r="Q41" i="59" s="1"/>
  <c r="N40" i="59"/>
  <c r="N39" i="59"/>
  <c r="N38" i="59"/>
  <c r="Q38" i="59" s="1"/>
  <c r="N37" i="59"/>
  <c r="Q37" i="59" s="1"/>
  <c r="N36" i="59"/>
  <c r="Q36" i="59" s="1"/>
  <c r="N35" i="59"/>
  <c r="Q35" i="59" s="1"/>
  <c r="N34" i="59"/>
  <c r="Q34" i="59" s="1"/>
  <c r="N33" i="59"/>
  <c r="Q33" i="59" s="1"/>
  <c r="N32" i="59"/>
  <c r="N31" i="59"/>
  <c r="Q31" i="59" s="1"/>
  <c r="N30" i="59"/>
  <c r="Q30" i="59" s="1"/>
  <c r="N29" i="59"/>
  <c r="Q29" i="59" s="1"/>
  <c r="N28" i="59"/>
  <c r="Q28" i="59" s="1"/>
  <c r="N27" i="59"/>
  <c r="Q27" i="59" s="1"/>
  <c r="N26" i="59"/>
  <c r="Q26" i="59" s="1"/>
  <c r="N25" i="59"/>
  <c r="Q25" i="59" s="1"/>
  <c r="N24" i="59"/>
  <c r="Q24" i="59" s="1"/>
  <c r="N23" i="59"/>
  <c r="Q23" i="59" s="1"/>
  <c r="N22" i="59"/>
  <c r="Q22" i="59" s="1"/>
  <c r="N21" i="59"/>
  <c r="Q21" i="59" s="1"/>
  <c r="N20" i="59"/>
  <c r="Q20" i="59" s="1"/>
  <c r="N19" i="59"/>
  <c r="N18" i="59"/>
  <c r="Q18" i="59" s="1"/>
  <c r="N17" i="59"/>
  <c r="Q17" i="59" s="1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Q40" i="62"/>
  <c r="Q19" i="62"/>
  <c r="N46" i="62"/>
  <c r="Q46" i="62" s="1"/>
  <c r="N45" i="62"/>
  <c r="Q45" i="62" s="1"/>
  <c r="N44" i="62"/>
  <c r="Q44" i="62" s="1"/>
  <c r="N43" i="62"/>
  <c r="Q43" i="62" s="1"/>
  <c r="N42" i="62"/>
  <c r="Q42" i="62" s="1"/>
  <c r="R42" i="62" s="1"/>
  <c r="N41" i="62"/>
  <c r="Q41" i="62" s="1"/>
  <c r="N40" i="62"/>
  <c r="N39" i="62"/>
  <c r="Q39" i="62" s="1"/>
  <c r="N38" i="62"/>
  <c r="Q38" i="62" s="1"/>
  <c r="N37" i="62"/>
  <c r="Q37" i="62" s="1"/>
  <c r="N36" i="62"/>
  <c r="Q36" i="62" s="1"/>
  <c r="N35" i="62"/>
  <c r="Q35" i="62" s="1"/>
  <c r="N34" i="62"/>
  <c r="Q34" i="62" s="1"/>
  <c r="N33" i="62"/>
  <c r="Q33" i="62" s="1"/>
  <c r="N32" i="62"/>
  <c r="Q32" i="62" s="1"/>
  <c r="N31" i="62"/>
  <c r="Q31" i="62" s="1"/>
  <c r="N30" i="62"/>
  <c r="Q30" i="62" s="1"/>
  <c r="R30" i="62" s="1"/>
  <c r="N29" i="62"/>
  <c r="Q29" i="62" s="1"/>
  <c r="N28" i="62"/>
  <c r="Q28" i="62" s="1"/>
  <c r="N27" i="62"/>
  <c r="Q27" i="62" s="1"/>
  <c r="N26" i="62"/>
  <c r="Q26" i="62" s="1"/>
  <c r="N25" i="62"/>
  <c r="Q25" i="62" s="1"/>
  <c r="N24" i="62"/>
  <c r="Q24" i="62" s="1"/>
  <c r="N23" i="62"/>
  <c r="Q23" i="62" s="1"/>
  <c r="N22" i="62"/>
  <c r="Q22" i="62" s="1"/>
  <c r="R22" i="62" s="1"/>
  <c r="N21" i="62"/>
  <c r="Q21" i="62" s="1"/>
  <c r="N20" i="62"/>
  <c r="Q20" i="62" s="1"/>
  <c r="N19" i="62"/>
  <c r="N18" i="62"/>
  <c r="Q18" i="62" s="1"/>
  <c r="N17" i="62"/>
  <c r="Q17" i="62" s="1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F46" i="62"/>
  <c r="F45" i="62"/>
  <c r="F44" i="62"/>
  <c r="F43" i="62"/>
  <c r="F42" i="62"/>
  <c r="F41" i="62"/>
  <c r="F40" i="62"/>
  <c r="F39" i="62"/>
  <c r="F38" i="62"/>
  <c r="F37" i="62"/>
  <c r="F36" i="62"/>
  <c r="F35" i="62"/>
  <c r="F34" i="62"/>
  <c r="F33" i="62"/>
  <c r="F32" i="62"/>
  <c r="R32" i="62" s="1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Q46" i="60"/>
  <c r="R46" i="60" s="1"/>
  <c r="Q36" i="60"/>
  <c r="Q30" i="60"/>
  <c r="R30" i="60" s="1"/>
  <c r="Q26" i="60"/>
  <c r="R24" i="60"/>
  <c r="N46" i="60"/>
  <c r="N45" i="60"/>
  <c r="Q45" i="60" s="1"/>
  <c r="N44" i="60"/>
  <c r="Q44" i="60" s="1"/>
  <c r="N43" i="60"/>
  <c r="Q43" i="60" s="1"/>
  <c r="N42" i="60"/>
  <c r="Q42" i="60" s="1"/>
  <c r="R42" i="60" s="1"/>
  <c r="N41" i="60"/>
  <c r="Q41" i="60" s="1"/>
  <c r="N40" i="60"/>
  <c r="Q40" i="60" s="1"/>
  <c r="N39" i="60"/>
  <c r="Q39" i="60" s="1"/>
  <c r="N38" i="60"/>
  <c r="Q38" i="60" s="1"/>
  <c r="N37" i="60"/>
  <c r="Q37" i="60" s="1"/>
  <c r="N36" i="60"/>
  <c r="N35" i="60"/>
  <c r="Q35" i="60" s="1"/>
  <c r="N34" i="60"/>
  <c r="Q34" i="60" s="1"/>
  <c r="N33" i="60"/>
  <c r="Q33" i="60" s="1"/>
  <c r="N32" i="60"/>
  <c r="Q32" i="60" s="1"/>
  <c r="N31" i="60"/>
  <c r="Q31" i="60" s="1"/>
  <c r="N30" i="60"/>
  <c r="N29" i="60"/>
  <c r="Q29" i="60" s="1"/>
  <c r="N28" i="60"/>
  <c r="Q28" i="60" s="1"/>
  <c r="N27" i="60"/>
  <c r="Q27" i="60" s="1"/>
  <c r="N26" i="60"/>
  <c r="N25" i="60"/>
  <c r="Q25" i="60" s="1"/>
  <c r="N24" i="60"/>
  <c r="Q24" i="60" s="1"/>
  <c r="N23" i="60"/>
  <c r="Q23" i="60" s="1"/>
  <c r="N22" i="60"/>
  <c r="Q22" i="60" s="1"/>
  <c r="R22" i="60" s="1"/>
  <c r="N21" i="60"/>
  <c r="Q21" i="60" s="1"/>
  <c r="N20" i="60"/>
  <c r="Q20" i="60" s="1"/>
  <c r="N19" i="60"/>
  <c r="Q19" i="60" s="1"/>
  <c r="N18" i="60"/>
  <c r="Q18" i="60" s="1"/>
  <c r="R18" i="60" s="1"/>
  <c r="N17" i="60"/>
  <c r="Q17" i="60" s="1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R32" i="60" s="1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Q46" i="58"/>
  <c r="N46" i="58"/>
  <c r="N45" i="58"/>
  <c r="Q45" i="58" s="1"/>
  <c r="N44" i="58"/>
  <c r="Q44" i="58" s="1"/>
  <c r="N43" i="58"/>
  <c r="Q43" i="58" s="1"/>
  <c r="N42" i="58"/>
  <c r="Q42" i="58" s="1"/>
  <c r="N41" i="58"/>
  <c r="Q41" i="58" s="1"/>
  <c r="N40" i="58"/>
  <c r="Q40" i="58" s="1"/>
  <c r="N39" i="58"/>
  <c r="Q39" i="58" s="1"/>
  <c r="N38" i="58"/>
  <c r="Q38" i="58" s="1"/>
  <c r="N37" i="58"/>
  <c r="Q37" i="58" s="1"/>
  <c r="N36" i="58"/>
  <c r="Q36" i="58" s="1"/>
  <c r="N35" i="58"/>
  <c r="Q35" i="58" s="1"/>
  <c r="N34" i="58"/>
  <c r="Q34" i="58" s="1"/>
  <c r="N33" i="58"/>
  <c r="Q33" i="58" s="1"/>
  <c r="N32" i="58"/>
  <c r="Q32" i="58" s="1"/>
  <c r="N31" i="58"/>
  <c r="Q31" i="58" s="1"/>
  <c r="N30" i="58"/>
  <c r="Q30" i="58" s="1"/>
  <c r="N29" i="58"/>
  <c r="Q29" i="58" s="1"/>
  <c r="N28" i="58"/>
  <c r="Q28" i="58" s="1"/>
  <c r="N27" i="58"/>
  <c r="Q27" i="58" s="1"/>
  <c r="N26" i="58"/>
  <c r="Q26" i="58" s="1"/>
  <c r="N25" i="58"/>
  <c r="Q25" i="58" s="1"/>
  <c r="N24" i="58"/>
  <c r="Q24" i="58" s="1"/>
  <c r="N23" i="58"/>
  <c r="Q23" i="58" s="1"/>
  <c r="N22" i="58"/>
  <c r="Q22" i="58" s="1"/>
  <c r="N21" i="58"/>
  <c r="Q21" i="58" s="1"/>
  <c r="N20" i="58"/>
  <c r="Q20" i="58" s="1"/>
  <c r="N19" i="58"/>
  <c r="Q19" i="58" s="1"/>
  <c r="N18" i="58"/>
  <c r="Q18" i="58" s="1"/>
  <c r="R18" i="58" s="1"/>
  <c r="N17" i="58"/>
  <c r="Q17" i="58" s="1"/>
  <c r="J46" i="58"/>
  <c r="R46" i="58" s="1"/>
  <c r="J45" i="58"/>
  <c r="J44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Q46" i="57"/>
  <c r="Q35" i="57"/>
  <c r="Q26" i="57"/>
  <c r="Q24" i="57"/>
  <c r="Q23" i="57"/>
  <c r="Q19" i="57"/>
  <c r="Q18" i="57"/>
  <c r="N46" i="57"/>
  <c r="N45" i="57"/>
  <c r="Q45" i="57" s="1"/>
  <c r="N44" i="57"/>
  <c r="Q44" i="57" s="1"/>
  <c r="N43" i="57"/>
  <c r="Q43" i="57" s="1"/>
  <c r="N42" i="57"/>
  <c r="Q42" i="57" s="1"/>
  <c r="N41" i="57"/>
  <c r="Q41" i="57" s="1"/>
  <c r="N40" i="57"/>
  <c r="Q40" i="57" s="1"/>
  <c r="N39" i="57"/>
  <c r="Q39" i="57" s="1"/>
  <c r="N38" i="57"/>
  <c r="Q38" i="57" s="1"/>
  <c r="N37" i="57"/>
  <c r="Q37" i="57" s="1"/>
  <c r="N36" i="57"/>
  <c r="Q36" i="57" s="1"/>
  <c r="N35" i="57"/>
  <c r="N34" i="57"/>
  <c r="Q34" i="57" s="1"/>
  <c r="N33" i="57"/>
  <c r="Q33" i="57" s="1"/>
  <c r="N32" i="57"/>
  <c r="Q32" i="57" s="1"/>
  <c r="N31" i="57"/>
  <c r="Q31" i="57" s="1"/>
  <c r="N30" i="57"/>
  <c r="Q30" i="57" s="1"/>
  <c r="N29" i="57"/>
  <c r="Q29" i="57" s="1"/>
  <c r="N28" i="57"/>
  <c r="Q28" i="57" s="1"/>
  <c r="N27" i="57"/>
  <c r="Q27" i="57" s="1"/>
  <c r="N26" i="57"/>
  <c r="N25" i="57"/>
  <c r="Q25" i="57" s="1"/>
  <c r="N24" i="57"/>
  <c r="N23" i="57"/>
  <c r="N22" i="57"/>
  <c r="Q22" i="57" s="1"/>
  <c r="N21" i="57"/>
  <c r="Q21" i="57" s="1"/>
  <c r="N20" i="57"/>
  <c r="Q20" i="57" s="1"/>
  <c r="N19" i="57"/>
  <c r="N18" i="57"/>
  <c r="N17" i="57"/>
  <c r="Q17" i="57" s="1"/>
  <c r="J46" i="57"/>
  <c r="J45" i="57"/>
  <c r="J44" i="57"/>
  <c r="J43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Q40" i="50"/>
  <c r="Q24" i="50"/>
  <c r="N46" i="50"/>
  <c r="Q46" i="50" s="1"/>
  <c r="N45" i="50"/>
  <c r="Q45" i="50" s="1"/>
  <c r="N44" i="50"/>
  <c r="Q44" i="50" s="1"/>
  <c r="N43" i="50"/>
  <c r="Q43" i="50" s="1"/>
  <c r="N42" i="50"/>
  <c r="Q42" i="50" s="1"/>
  <c r="N41" i="50"/>
  <c r="Q41" i="50" s="1"/>
  <c r="N40" i="50"/>
  <c r="N39" i="50"/>
  <c r="Q39" i="50" s="1"/>
  <c r="N38" i="50"/>
  <c r="Q38" i="50" s="1"/>
  <c r="N37" i="50"/>
  <c r="Q37" i="50" s="1"/>
  <c r="N36" i="50"/>
  <c r="Q36" i="50" s="1"/>
  <c r="N35" i="50"/>
  <c r="Q35" i="50" s="1"/>
  <c r="N34" i="50"/>
  <c r="Q34" i="50" s="1"/>
  <c r="N33" i="50"/>
  <c r="Q33" i="50" s="1"/>
  <c r="N32" i="50"/>
  <c r="Q32" i="50" s="1"/>
  <c r="N31" i="50"/>
  <c r="Q31" i="50" s="1"/>
  <c r="N30" i="50"/>
  <c r="Q30" i="50" s="1"/>
  <c r="N29" i="50"/>
  <c r="Q29" i="50" s="1"/>
  <c r="N28" i="50"/>
  <c r="Q28" i="50" s="1"/>
  <c r="N27" i="50"/>
  <c r="Q27" i="50" s="1"/>
  <c r="N26" i="50"/>
  <c r="Q26" i="50" s="1"/>
  <c r="N25" i="50"/>
  <c r="Q25" i="50" s="1"/>
  <c r="N24" i="50"/>
  <c r="N23" i="50"/>
  <c r="Q23" i="50" s="1"/>
  <c r="N22" i="50"/>
  <c r="Q22" i="50" s="1"/>
  <c r="N21" i="50"/>
  <c r="Q21" i="50" s="1"/>
  <c r="N20" i="50"/>
  <c r="Q20" i="50" s="1"/>
  <c r="N19" i="50"/>
  <c r="Q19" i="50" s="1"/>
  <c r="N18" i="50"/>
  <c r="Q18" i="50" s="1"/>
  <c r="N17" i="50"/>
  <c r="Q17" i="50" s="1"/>
  <c r="J46" i="50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9" i="50"/>
  <c r="J18" i="50"/>
  <c r="J1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F27" i="50"/>
  <c r="F26" i="50"/>
  <c r="F25" i="50"/>
  <c r="F24" i="50"/>
  <c r="F23" i="50"/>
  <c r="F22" i="50"/>
  <c r="F21" i="50"/>
  <c r="F20" i="50"/>
  <c r="F19" i="50"/>
  <c r="F18" i="50"/>
  <c r="F17" i="50"/>
  <c r="Q40" i="55"/>
  <c r="Q33" i="55"/>
  <c r="Q32" i="55"/>
  <c r="N46" i="55"/>
  <c r="Q46" i="55" s="1"/>
  <c r="N45" i="55"/>
  <c r="Q45" i="55" s="1"/>
  <c r="N44" i="55"/>
  <c r="Q44" i="55" s="1"/>
  <c r="N43" i="55"/>
  <c r="Q43" i="55" s="1"/>
  <c r="N42" i="55"/>
  <c r="Q42" i="55" s="1"/>
  <c r="N41" i="55"/>
  <c r="Q41" i="55" s="1"/>
  <c r="N40" i="55"/>
  <c r="N39" i="55"/>
  <c r="Q39" i="55" s="1"/>
  <c r="N38" i="55"/>
  <c r="Q38" i="55" s="1"/>
  <c r="N37" i="55"/>
  <c r="Q37" i="55" s="1"/>
  <c r="N36" i="55"/>
  <c r="Q36" i="55" s="1"/>
  <c r="N35" i="55"/>
  <c r="Q35" i="55" s="1"/>
  <c r="N34" i="55"/>
  <c r="Q34" i="55" s="1"/>
  <c r="N33" i="55"/>
  <c r="N32" i="55"/>
  <c r="N31" i="55"/>
  <c r="Q31" i="55" s="1"/>
  <c r="N30" i="55"/>
  <c r="Q30" i="55" s="1"/>
  <c r="N29" i="55"/>
  <c r="Q29" i="55" s="1"/>
  <c r="N28" i="55"/>
  <c r="Q28" i="55" s="1"/>
  <c r="N27" i="55"/>
  <c r="Q27" i="55" s="1"/>
  <c r="N26" i="55"/>
  <c r="Q26" i="55" s="1"/>
  <c r="N25" i="55"/>
  <c r="Q25" i="55" s="1"/>
  <c r="N24" i="55"/>
  <c r="Q24" i="55" s="1"/>
  <c r="N23" i="55"/>
  <c r="Q23" i="55" s="1"/>
  <c r="N22" i="55"/>
  <c r="Q22" i="55" s="1"/>
  <c r="N21" i="55"/>
  <c r="Q21" i="55" s="1"/>
  <c r="N20" i="55"/>
  <c r="Q20" i="55" s="1"/>
  <c r="N19" i="55"/>
  <c r="Q19" i="55" s="1"/>
  <c r="N18" i="55"/>
  <c r="Q18" i="55" s="1"/>
  <c r="N17" i="55"/>
  <c r="Q17" i="55" s="1"/>
  <c r="J46" i="55"/>
  <c r="J45" i="55"/>
  <c r="J44" i="55"/>
  <c r="J43" i="55"/>
  <c r="J42" i="55"/>
  <c r="J41" i="55"/>
  <c r="J40" i="55"/>
  <c r="J39" i="55"/>
  <c r="J38" i="55"/>
  <c r="J37" i="55"/>
  <c r="J36" i="55"/>
  <c r="J35" i="55"/>
  <c r="J34" i="55"/>
  <c r="J33" i="55"/>
  <c r="J32" i="55"/>
  <c r="J31" i="55"/>
  <c r="J30" i="55"/>
  <c r="J29" i="55"/>
  <c r="J28" i="55"/>
  <c r="J27" i="55"/>
  <c r="J26" i="55"/>
  <c r="J25" i="55"/>
  <c r="J24" i="55"/>
  <c r="J23" i="55"/>
  <c r="J22" i="55"/>
  <c r="J21" i="55"/>
  <c r="J20" i="55"/>
  <c r="J19" i="55"/>
  <c r="J18" i="55"/>
  <c r="J1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Q21" i="42"/>
  <c r="N46" i="42"/>
  <c r="Q46" i="42" s="1"/>
  <c r="N45" i="42"/>
  <c r="Q45" i="42" s="1"/>
  <c r="N44" i="42"/>
  <c r="Q44" i="42" s="1"/>
  <c r="N43" i="42"/>
  <c r="Q43" i="42" s="1"/>
  <c r="N42" i="42"/>
  <c r="Q42" i="42" s="1"/>
  <c r="N41" i="42"/>
  <c r="Q41" i="42" s="1"/>
  <c r="N40" i="42"/>
  <c r="Q40" i="42" s="1"/>
  <c r="N39" i="42"/>
  <c r="Q39" i="42" s="1"/>
  <c r="N38" i="42"/>
  <c r="Q38" i="42" s="1"/>
  <c r="N37" i="42"/>
  <c r="Q37" i="42" s="1"/>
  <c r="N36" i="42"/>
  <c r="Q36" i="42" s="1"/>
  <c r="N35" i="42"/>
  <c r="Q35" i="42" s="1"/>
  <c r="N34" i="42"/>
  <c r="Q34" i="42" s="1"/>
  <c r="N33" i="42"/>
  <c r="Q33" i="42" s="1"/>
  <c r="N32" i="42"/>
  <c r="Q32" i="42" s="1"/>
  <c r="N31" i="42"/>
  <c r="Q31" i="42" s="1"/>
  <c r="N30" i="42"/>
  <c r="Q30" i="42" s="1"/>
  <c r="N29" i="42"/>
  <c r="Q29" i="42" s="1"/>
  <c r="N28" i="42"/>
  <c r="Q28" i="42" s="1"/>
  <c r="N27" i="42"/>
  <c r="Q27" i="42" s="1"/>
  <c r="N26" i="42"/>
  <c r="Q26" i="42" s="1"/>
  <c r="N25" i="42"/>
  <c r="Q25" i="42" s="1"/>
  <c r="N24" i="42"/>
  <c r="Q24" i="42" s="1"/>
  <c r="N23" i="42"/>
  <c r="Q23" i="42" s="1"/>
  <c r="N22" i="42"/>
  <c r="Q22" i="42" s="1"/>
  <c r="N21" i="42"/>
  <c r="N20" i="42"/>
  <c r="Q20" i="42" s="1"/>
  <c r="N19" i="42"/>
  <c r="Q19" i="42" s="1"/>
  <c r="N18" i="42"/>
  <c r="Q18" i="42" s="1"/>
  <c r="N17" i="42"/>
  <c r="Q17" i="42" s="1"/>
  <c r="J46" i="42"/>
  <c r="J45" i="42"/>
  <c r="J44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8" i="42"/>
  <c r="J1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Q44" i="28"/>
  <c r="Q43" i="28"/>
  <c r="Q40" i="28"/>
  <c r="Q32" i="28"/>
  <c r="Q21" i="28"/>
  <c r="N46" i="28"/>
  <c r="Q46" i="28" s="1"/>
  <c r="N45" i="28"/>
  <c r="Q45" i="28" s="1"/>
  <c r="N44" i="28"/>
  <c r="N43" i="28"/>
  <c r="N42" i="28"/>
  <c r="Q42" i="28" s="1"/>
  <c r="N41" i="28"/>
  <c r="Q41" i="28" s="1"/>
  <c r="N40" i="28"/>
  <c r="N39" i="28"/>
  <c r="Q39" i="28" s="1"/>
  <c r="N38" i="28"/>
  <c r="Q38" i="28" s="1"/>
  <c r="N37" i="28"/>
  <c r="Q37" i="28" s="1"/>
  <c r="N36" i="28"/>
  <c r="Q36" i="28" s="1"/>
  <c r="N35" i="28"/>
  <c r="Q35" i="28" s="1"/>
  <c r="N34" i="28"/>
  <c r="Q34" i="28" s="1"/>
  <c r="N33" i="28"/>
  <c r="Q33" i="28" s="1"/>
  <c r="N32" i="28"/>
  <c r="N31" i="28"/>
  <c r="Q31" i="28" s="1"/>
  <c r="N30" i="28"/>
  <c r="Q30" i="28" s="1"/>
  <c r="N29" i="28"/>
  <c r="Q29" i="28" s="1"/>
  <c r="N28" i="28"/>
  <c r="Q28" i="28" s="1"/>
  <c r="N27" i="28"/>
  <c r="Q27" i="28" s="1"/>
  <c r="N26" i="28"/>
  <c r="Q26" i="28" s="1"/>
  <c r="N25" i="28"/>
  <c r="Q25" i="28" s="1"/>
  <c r="N24" i="28"/>
  <c r="Q24" i="28" s="1"/>
  <c r="N23" i="28"/>
  <c r="Q23" i="28" s="1"/>
  <c r="N22" i="28"/>
  <c r="Q22" i="28" s="1"/>
  <c r="N21" i="28"/>
  <c r="N20" i="28"/>
  <c r="Q20" i="28" s="1"/>
  <c r="N19" i="28"/>
  <c r="Q19" i="28" s="1"/>
  <c r="N18" i="28"/>
  <c r="Q18" i="28" s="1"/>
  <c r="N17" i="28"/>
  <c r="Q17" i="28" s="1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Q44" i="41"/>
  <c r="Q43" i="41"/>
  <c r="Q32" i="41"/>
  <c r="Q17" i="41"/>
  <c r="N46" i="41"/>
  <c r="Q46" i="41" s="1"/>
  <c r="N45" i="41"/>
  <c r="Q45" i="41" s="1"/>
  <c r="N44" i="41"/>
  <c r="N43" i="41"/>
  <c r="N42" i="41"/>
  <c r="Q42" i="41" s="1"/>
  <c r="N41" i="41"/>
  <c r="Q41" i="41" s="1"/>
  <c r="N40" i="41"/>
  <c r="Q40" i="41" s="1"/>
  <c r="N39" i="41"/>
  <c r="Q39" i="41" s="1"/>
  <c r="N38" i="41"/>
  <c r="Q38" i="41" s="1"/>
  <c r="N37" i="41"/>
  <c r="Q37" i="41" s="1"/>
  <c r="N36" i="41"/>
  <c r="Q36" i="41" s="1"/>
  <c r="N35" i="41"/>
  <c r="Q35" i="41" s="1"/>
  <c r="N34" i="41"/>
  <c r="Q34" i="41" s="1"/>
  <c r="N33" i="41"/>
  <c r="Q33" i="41" s="1"/>
  <c r="N32" i="41"/>
  <c r="N31" i="41"/>
  <c r="Q31" i="41" s="1"/>
  <c r="N30" i="41"/>
  <c r="Q30" i="41" s="1"/>
  <c r="N29" i="41"/>
  <c r="Q29" i="41" s="1"/>
  <c r="N28" i="41"/>
  <c r="Q28" i="41" s="1"/>
  <c r="N27" i="41"/>
  <c r="Q27" i="41" s="1"/>
  <c r="N26" i="41"/>
  <c r="Q26" i="41" s="1"/>
  <c r="N25" i="41"/>
  <c r="Q25" i="41" s="1"/>
  <c r="N24" i="41"/>
  <c r="Q24" i="41" s="1"/>
  <c r="N23" i="41"/>
  <c r="Q23" i="41" s="1"/>
  <c r="N22" i="41"/>
  <c r="Q22" i="41" s="1"/>
  <c r="N21" i="41"/>
  <c r="Q21" i="41" s="1"/>
  <c r="N20" i="41"/>
  <c r="Q20" i="41" s="1"/>
  <c r="N19" i="41"/>
  <c r="Q19" i="41" s="1"/>
  <c r="N18" i="41"/>
  <c r="Q18" i="41" s="1"/>
  <c r="N1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Q42" i="30"/>
  <c r="Q40" i="30"/>
  <c r="Q25" i="30"/>
  <c r="N46" i="30"/>
  <c r="Q46" i="30" s="1"/>
  <c r="N45" i="30"/>
  <c r="Q45" i="30" s="1"/>
  <c r="N44" i="30"/>
  <c r="Q44" i="30" s="1"/>
  <c r="N43" i="30"/>
  <c r="Q43" i="30" s="1"/>
  <c r="N42" i="30"/>
  <c r="N41" i="30"/>
  <c r="Q41" i="30" s="1"/>
  <c r="N40" i="30"/>
  <c r="N39" i="30"/>
  <c r="Q39" i="30" s="1"/>
  <c r="N38" i="30"/>
  <c r="Q38" i="30" s="1"/>
  <c r="R38" i="30" s="1"/>
  <c r="N37" i="30"/>
  <c r="Q37" i="30" s="1"/>
  <c r="N36" i="30"/>
  <c r="Q36" i="30" s="1"/>
  <c r="N35" i="30"/>
  <c r="Q35" i="30" s="1"/>
  <c r="N34" i="30"/>
  <c r="Q34" i="30" s="1"/>
  <c r="N33" i="30"/>
  <c r="Q33" i="30" s="1"/>
  <c r="N32" i="30"/>
  <c r="Q32" i="30" s="1"/>
  <c r="N31" i="30"/>
  <c r="Q31" i="30" s="1"/>
  <c r="N30" i="30"/>
  <c r="Q30" i="30" s="1"/>
  <c r="N29" i="30"/>
  <c r="Q29" i="30" s="1"/>
  <c r="N28" i="30"/>
  <c r="Q28" i="30" s="1"/>
  <c r="N27" i="30"/>
  <c r="Q27" i="30" s="1"/>
  <c r="N26" i="30"/>
  <c r="Q26" i="30" s="1"/>
  <c r="N25" i="30"/>
  <c r="N24" i="30"/>
  <c r="Q24" i="30" s="1"/>
  <c r="N23" i="30"/>
  <c r="Q23" i="30" s="1"/>
  <c r="N22" i="30"/>
  <c r="Q22" i="30" s="1"/>
  <c r="N21" i="30"/>
  <c r="Q21" i="30" s="1"/>
  <c r="N20" i="30"/>
  <c r="Q20" i="30" s="1"/>
  <c r="N19" i="30"/>
  <c r="Q19" i="30" s="1"/>
  <c r="N18" i="30"/>
  <c r="Q18" i="30" s="1"/>
  <c r="N17" i="30"/>
  <c r="Q17" i="30" s="1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Q46" i="31"/>
  <c r="R46" i="31" s="1"/>
  <c r="Q33" i="31"/>
  <c r="Q32" i="31"/>
  <c r="Q23" i="31"/>
  <c r="Q19" i="31"/>
  <c r="N46" i="31"/>
  <c r="N45" i="31"/>
  <c r="Q45" i="31" s="1"/>
  <c r="N44" i="31"/>
  <c r="Q44" i="31" s="1"/>
  <c r="N43" i="31"/>
  <c r="Q43" i="31" s="1"/>
  <c r="N42" i="31"/>
  <c r="Q42" i="31" s="1"/>
  <c r="N41" i="31"/>
  <c r="Q41" i="31" s="1"/>
  <c r="N40" i="31"/>
  <c r="Q40" i="31" s="1"/>
  <c r="N39" i="31"/>
  <c r="Q39" i="31" s="1"/>
  <c r="N38" i="31"/>
  <c r="Q38" i="31" s="1"/>
  <c r="R38" i="31" s="1"/>
  <c r="N37" i="31"/>
  <c r="Q37" i="31" s="1"/>
  <c r="N36" i="31"/>
  <c r="Q36" i="31" s="1"/>
  <c r="N35" i="31"/>
  <c r="Q35" i="31" s="1"/>
  <c r="N34" i="31"/>
  <c r="Q34" i="31" s="1"/>
  <c r="N33" i="31"/>
  <c r="N32" i="31"/>
  <c r="N31" i="31"/>
  <c r="Q31" i="31" s="1"/>
  <c r="N30" i="31"/>
  <c r="Q30" i="31" s="1"/>
  <c r="N29" i="31"/>
  <c r="Q29" i="31" s="1"/>
  <c r="N28" i="31"/>
  <c r="Q28" i="31" s="1"/>
  <c r="N27" i="31"/>
  <c r="Q27" i="31" s="1"/>
  <c r="N26" i="31"/>
  <c r="Q26" i="31" s="1"/>
  <c r="N25" i="31"/>
  <c r="Q25" i="31" s="1"/>
  <c r="N24" i="31"/>
  <c r="Q24" i="31" s="1"/>
  <c r="N23" i="31"/>
  <c r="N22" i="31"/>
  <c r="Q22" i="31" s="1"/>
  <c r="N21" i="31"/>
  <c r="Q21" i="31" s="1"/>
  <c r="N20" i="31"/>
  <c r="Q20" i="31" s="1"/>
  <c r="N19" i="31"/>
  <c r="N18" i="31"/>
  <c r="Q18" i="31" s="1"/>
  <c r="N17" i="31"/>
  <c r="Q17" i="31" s="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Q46" i="34"/>
  <c r="R46" i="34" s="1"/>
  <c r="Q39" i="34"/>
  <c r="Q27" i="34"/>
  <c r="Q23" i="34"/>
  <c r="N46" i="34"/>
  <c r="N45" i="34"/>
  <c r="Q45" i="34" s="1"/>
  <c r="N44" i="34"/>
  <c r="Q44" i="34" s="1"/>
  <c r="N43" i="34"/>
  <c r="Q43" i="34" s="1"/>
  <c r="N42" i="34"/>
  <c r="Q42" i="34" s="1"/>
  <c r="N41" i="34"/>
  <c r="Q41" i="34" s="1"/>
  <c r="N40" i="34"/>
  <c r="Q40" i="34" s="1"/>
  <c r="N39" i="34"/>
  <c r="N38" i="34"/>
  <c r="Q38" i="34" s="1"/>
  <c r="N37" i="34"/>
  <c r="Q37" i="34" s="1"/>
  <c r="N36" i="34"/>
  <c r="Q36" i="34" s="1"/>
  <c r="N35" i="34"/>
  <c r="Q35" i="34" s="1"/>
  <c r="N34" i="34"/>
  <c r="Q34" i="34" s="1"/>
  <c r="R34" i="34" s="1"/>
  <c r="N33" i="34"/>
  <c r="Q33" i="34" s="1"/>
  <c r="N32" i="34"/>
  <c r="Q32" i="34" s="1"/>
  <c r="N31" i="34"/>
  <c r="Q31" i="34" s="1"/>
  <c r="N30" i="34"/>
  <c r="Q30" i="34" s="1"/>
  <c r="N29" i="34"/>
  <c r="Q29" i="34" s="1"/>
  <c r="N28" i="34"/>
  <c r="Q28" i="34" s="1"/>
  <c r="N27" i="34"/>
  <c r="N26" i="34"/>
  <c r="Q26" i="34" s="1"/>
  <c r="N25" i="34"/>
  <c r="Q25" i="34" s="1"/>
  <c r="N24" i="34"/>
  <c r="Q24" i="34" s="1"/>
  <c r="N23" i="34"/>
  <c r="N22" i="34"/>
  <c r="Q22" i="34" s="1"/>
  <c r="N21" i="34"/>
  <c r="Q21" i="34" s="1"/>
  <c r="N20" i="34"/>
  <c r="Q20" i="34" s="1"/>
  <c r="N19" i="34"/>
  <c r="Q19" i="34" s="1"/>
  <c r="N18" i="34"/>
  <c r="Q18" i="34" s="1"/>
  <c r="N17" i="34"/>
  <c r="Q17" i="34" s="1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Q46" i="33"/>
  <c r="Q39" i="33"/>
  <c r="Q25" i="33"/>
  <c r="Q23" i="33"/>
  <c r="Q19" i="33"/>
  <c r="Q18" i="33"/>
  <c r="N46" i="33"/>
  <c r="N45" i="33"/>
  <c r="Q45" i="33" s="1"/>
  <c r="N44" i="33"/>
  <c r="Q44" i="33" s="1"/>
  <c r="N43" i="33"/>
  <c r="Q43" i="33" s="1"/>
  <c r="N42" i="33"/>
  <c r="Q42" i="33" s="1"/>
  <c r="N41" i="33"/>
  <c r="Q41" i="33" s="1"/>
  <c r="N40" i="33"/>
  <c r="Q40" i="33" s="1"/>
  <c r="N39" i="33"/>
  <c r="N38" i="33"/>
  <c r="Q38" i="33" s="1"/>
  <c r="N37" i="33"/>
  <c r="Q37" i="33" s="1"/>
  <c r="N36" i="33"/>
  <c r="Q36" i="33" s="1"/>
  <c r="N35" i="33"/>
  <c r="Q35" i="33" s="1"/>
  <c r="N34" i="33"/>
  <c r="Q34" i="33" s="1"/>
  <c r="N33" i="33"/>
  <c r="Q33" i="33" s="1"/>
  <c r="N32" i="33"/>
  <c r="Q32" i="33" s="1"/>
  <c r="N31" i="33"/>
  <c r="Q31" i="33" s="1"/>
  <c r="N30" i="33"/>
  <c r="Q30" i="33" s="1"/>
  <c r="N29" i="33"/>
  <c r="Q29" i="33" s="1"/>
  <c r="N28" i="33"/>
  <c r="Q28" i="33" s="1"/>
  <c r="N27" i="33"/>
  <c r="Q27" i="33" s="1"/>
  <c r="N26" i="33"/>
  <c r="Q26" i="33" s="1"/>
  <c r="N25" i="33"/>
  <c r="N24" i="33"/>
  <c r="Q24" i="33" s="1"/>
  <c r="N23" i="33"/>
  <c r="N22" i="33"/>
  <c r="Q22" i="33" s="1"/>
  <c r="N21" i="33"/>
  <c r="Q21" i="33" s="1"/>
  <c r="N20" i="33"/>
  <c r="Q20" i="33" s="1"/>
  <c r="N19" i="33"/>
  <c r="N18" i="33"/>
  <c r="N17" i="33"/>
  <c r="Q17" i="33" s="1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Q40" i="26"/>
  <c r="Q32" i="26"/>
  <c r="Q29" i="26"/>
  <c r="R29" i="26" s="1"/>
  <c r="Q17" i="26"/>
  <c r="N46" i="26"/>
  <c r="Q46" i="26" s="1"/>
  <c r="N45" i="26"/>
  <c r="Q45" i="26" s="1"/>
  <c r="N44" i="26"/>
  <c r="Q44" i="26" s="1"/>
  <c r="N43" i="26"/>
  <c r="Q43" i="26" s="1"/>
  <c r="N42" i="26"/>
  <c r="Q42" i="26" s="1"/>
  <c r="N41" i="26"/>
  <c r="Q41" i="26" s="1"/>
  <c r="N40" i="26"/>
  <c r="N39" i="26"/>
  <c r="Q39" i="26" s="1"/>
  <c r="N38" i="26"/>
  <c r="Q38" i="26" s="1"/>
  <c r="N37" i="26"/>
  <c r="Q37" i="26" s="1"/>
  <c r="N36" i="26"/>
  <c r="Q36" i="26" s="1"/>
  <c r="R36" i="26" s="1"/>
  <c r="N35" i="26"/>
  <c r="Q35" i="26" s="1"/>
  <c r="N34" i="26"/>
  <c r="Q34" i="26" s="1"/>
  <c r="N33" i="26"/>
  <c r="Q33" i="26" s="1"/>
  <c r="N32" i="26"/>
  <c r="N31" i="26"/>
  <c r="Q31" i="26" s="1"/>
  <c r="N30" i="26"/>
  <c r="Q30" i="26" s="1"/>
  <c r="N29" i="26"/>
  <c r="N28" i="26"/>
  <c r="Q28" i="26" s="1"/>
  <c r="R28" i="26" s="1"/>
  <c r="N27" i="26"/>
  <c r="Q27" i="26" s="1"/>
  <c r="N26" i="26"/>
  <c r="Q26" i="26" s="1"/>
  <c r="N25" i="26"/>
  <c r="Q25" i="26" s="1"/>
  <c r="N24" i="26"/>
  <c r="Q24" i="26" s="1"/>
  <c r="N23" i="26"/>
  <c r="Q23" i="26" s="1"/>
  <c r="N22" i="26"/>
  <c r="Q22" i="26" s="1"/>
  <c r="N21" i="26"/>
  <c r="Q21" i="26" s="1"/>
  <c r="N20" i="26"/>
  <c r="Q20" i="26" s="1"/>
  <c r="N19" i="26"/>
  <c r="Q19" i="26" s="1"/>
  <c r="N18" i="26"/>
  <c r="Q18" i="26" s="1"/>
  <c r="N17" i="26"/>
  <c r="J46" i="26"/>
  <c r="J45" i="26"/>
  <c r="J44" i="26"/>
  <c r="J43" i="26"/>
  <c r="J42" i="26"/>
  <c r="J41" i="26"/>
  <c r="J40" i="26"/>
  <c r="R40" i="26" s="1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Q40" i="27"/>
  <c r="Q26" i="27"/>
  <c r="Q19" i="27"/>
  <c r="N46" i="27"/>
  <c r="Q46" i="27" s="1"/>
  <c r="N45" i="27"/>
  <c r="Q45" i="27" s="1"/>
  <c r="N44" i="27"/>
  <c r="Q44" i="27" s="1"/>
  <c r="N43" i="27"/>
  <c r="Q43" i="27" s="1"/>
  <c r="N42" i="27"/>
  <c r="Q42" i="27" s="1"/>
  <c r="N41" i="27"/>
  <c r="Q41" i="27" s="1"/>
  <c r="N40" i="27"/>
  <c r="N39" i="27"/>
  <c r="Q39" i="27" s="1"/>
  <c r="N38" i="27"/>
  <c r="Q38" i="27" s="1"/>
  <c r="N37" i="27"/>
  <c r="Q37" i="27" s="1"/>
  <c r="N36" i="27"/>
  <c r="Q36" i="27" s="1"/>
  <c r="N35" i="27"/>
  <c r="Q35" i="27" s="1"/>
  <c r="N34" i="27"/>
  <c r="Q34" i="27" s="1"/>
  <c r="N33" i="27"/>
  <c r="Q33" i="27" s="1"/>
  <c r="N32" i="27"/>
  <c r="Q32" i="27" s="1"/>
  <c r="N31" i="27"/>
  <c r="Q31" i="27" s="1"/>
  <c r="N30" i="27"/>
  <c r="Q30" i="27" s="1"/>
  <c r="N29" i="27"/>
  <c r="Q29" i="27" s="1"/>
  <c r="N28" i="27"/>
  <c r="Q28" i="27" s="1"/>
  <c r="N27" i="27"/>
  <c r="Q27" i="27" s="1"/>
  <c r="N26" i="27"/>
  <c r="N25" i="27"/>
  <c r="Q25" i="27" s="1"/>
  <c r="N24" i="27"/>
  <c r="Q24" i="27" s="1"/>
  <c r="N23" i="27"/>
  <c r="Q23" i="27" s="1"/>
  <c r="N22" i="27"/>
  <c r="Q22" i="27" s="1"/>
  <c r="N21" i="27"/>
  <c r="Q21" i="27" s="1"/>
  <c r="N20" i="27"/>
  <c r="Q20" i="27" s="1"/>
  <c r="N19" i="27"/>
  <c r="N18" i="27"/>
  <c r="Q18" i="27" s="1"/>
  <c r="N17" i="27"/>
  <c r="Q17" i="27" s="1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Q46" i="35"/>
  <c r="R46" i="35" s="1"/>
  <c r="Q42" i="35"/>
  <c r="Q40" i="35"/>
  <c r="Q30" i="35"/>
  <c r="N46" i="35"/>
  <c r="N45" i="35"/>
  <c r="Q45" i="35" s="1"/>
  <c r="N44" i="35"/>
  <c r="Q44" i="35" s="1"/>
  <c r="N43" i="35"/>
  <c r="Q43" i="35" s="1"/>
  <c r="N41" i="35"/>
  <c r="Q41" i="35" s="1"/>
  <c r="N40" i="35"/>
  <c r="N39" i="35"/>
  <c r="Q39" i="35" s="1"/>
  <c r="N38" i="35"/>
  <c r="Q38" i="35" s="1"/>
  <c r="R38" i="35" s="1"/>
  <c r="N37" i="35"/>
  <c r="Q37" i="35" s="1"/>
  <c r="N36" i="35"/>
  <c r="Q36" i="35" s="1"/>
  <c r="N35" i="35"/>
  <c r="Q35" i="35" s="1"/>
  <c r="N34" i="35"/>
  <c r="Q34" i="35" s="1"/>
  <c r="N33" i="35"/>
  <c r="Q33" i="35" s="1"/>
  <c r="N32" i="35"/>
  <c r="Q32" i="35" s="1"/>
  <c r="N31" i="35"/>
  <c r="Q31" i="35" s="1"/>
  <c r="N30" i="35"/>
  <c r="N29" i="35"/>
  <c r="Q29" i="35" s="1"/>
  <c r="N28" i="35"/>
  <c r="Q28" i="35" s="1"/>
  <c r="N27" i="35"/>
  <c r="Q27" i="35" s="1"/>
  <c r="N26" i="35"/>
  <c r="Q26" i="35" s="1"/>
  <c r="N25" i="35"/>
  <c r="Q25" i="35" s="1"/>
  <c r="N24" i="35"/>
  <c r="Q24" i="35" s="1"/>
  <c r="N23" i="35"/>
  <c r="Q23" i="35" s="1"/>
  <c r="N22" i="35"/>
  <c r="Q22" i="35" s="1"/>
  <c r="N21" i="35"/>
  <c r="Q21" i="35" s="1"/>
  <c r="N20" i="35"/>
  <c r="Q20" i="35" s="1"/>
  <c r="N19" i="35"/>
  <c r="Q19" i="35" s="1"/>
  <c r="N18" i="35"/>
  <c r="Q18" i="35" s="1"/>
  <c r="N17" i="35"/>
  <c r="Q17" i="35" s="1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Q45" i="43"/>
  <c r="Q40" i="43"/>
  <c r="Q33" i="43"/>
  <c r="Q32" i="43"/>
  <c r="Q25" i="43"/>
  <c r="Q46" i="43"/>
  <c r="N44" i="43"/>
  <c r="Q44" i="43" s="1"/>
  <c r="N43" i="43"/>
  <c r="Q43" i="43" s="1"/>
  <c r="N42" i="43"/>
  <c r="Q42" i="43" s="1"/>
  <c r="N41" i="43"/>
  <c r="Q41" i="43" s="1"/>
  <c r="N40" i="43"/>
  <c r="N39" i="43"/>
  <c r="Q39" i="43" s="1"/>
  <c r="N38" i="43"/>
  <c r="Q38" i="43" s="1"/>
  <c r="N37" i="43"/>
  <c r="Q37" i="43" s="1"/>
  <c r="N36" i="43"/>
  <c r="Q36" i="43" s="1"/>
  <c r="N35" i="43"/>
  <c r="Q35" i="43" s="1"/>
  <c r="N34" i="43"/>
  <c r="Q34" i="43" s="1"/>
  <c r="N33" i="43"/>
  <c r="N32" i="43"/>
  <c r="N31" i="43"/>
  <c r="Q31" i="43" s="1"/>
  <c r="N30" i="43"/>
  <c r="Q30" i="43" s="1"/>
  <c r="N29" i="43"/>
  <c r="Q29" i="43" s="1"/>
  <c r="N28" i="43"/>
  <c r="Q28" i="43" s="1"/>
  <c r="N27" i="43"/>
  <c r="Q27" i="43" s="1"/>
  <c r="N26" i="43"/>
  <c r="Q26" i="43" s="1"/>
  <c r="N25" i="43"/>
  <c r="N24" i="43"/>
  <c r="Q24" i="43" s="1"/>
  <c r="N23" i="43"/>
  <c r="Q23" i="43" s="1"/>
  <c r="N22" i="43"/>
  <c r="Q22" i="43" s="1"/>
  <c r="N21" i="43"/>
  <c r="Q21" i="43" s="1"/>
  <c r="N20" i="43"/>
  <c r="Q20" i="43" s="1"/>
  <c r="N19" i="43"/>
  <c r="Q19" i="43" s="1"/>
  <c r="N18" i="43"/>
  <c r="Q18" i="43" s="1"/>
  <c r="N17" i="43"/>
  <c r="Q17" i="43" s="1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Q31" i="29"/>
  <c r="Q25" i="29"/>
  <c r="Q21" i="29"/>
  <c r="Q18" i="29"/>
  <c r="N46" i="29"/>
  <c r="Q46" i="29" s="1"/>
  <c r="N45" i="29"/>
  <c r="Q45" i="29" s="1"/>
  <c r="N44" i="29"/>
  <c r="Q44" i="29" s="1"/>
  <c r="N43" i="29"/>
  <c r="Q43" i="29" s="1"/>
  <c r="N42" i="29"/>
  <c r="Q42" i="29" s="1"/>
  <c r="N41" i="29"/>
  <c r="Q41" i="29" s="1"/>
  <c r="N40" i="29"/>
  <c r="Q40" i="29" s="1"/>
  <c r="N39" i="29"/>
  <c r="Q39" i="29" s="1"/>
  <c r="N38" i="29"/>
  <c r="Q38" i="29" s="1"/>
  <c r="N37" i="29"/>
  <c r="Q37" i="29" s="1"/>
  <c r="N36" i="29"/>
  <c r="Q36" i="29" s="1"/>
  <c r="N35" i="29"/>
  <c r="Q35" i="29" s="1"/>
  <c r="N34" i="29"/>
  <c r="Q34" i="29" s="1"/>
  <c r="N33" i="29"/>
  <c r="Q33" i="29" s="1"/>
  <c r="N32" i="29"/>
  <c r="Q32" i="29" s="1"/>
  <c r="N31" i="29"/>
  <c r="N30" i="29"/>
  <c r="Q30" i="29" s="1"/>
  <c r="N29" i="29"/>
  <c r="Q29" i="29" s="1"/>
  <c r="N28" i="29"/>
  <c r="Q28" i="29" s="1"/>
  <c r="N27" i="29"/>
  <c r="Q27" i="29" s="1"/>
  <c r="N26" i="29"/>
  <c r="Q26" i="29" s="1"/>
  <c r="N25" i="29"/>
  <c r="N24" i="29"/>
  <c r="Q24" i="29" s="1"/>
  <c r="N23" i="29"/>
  <c r="Q23" i="29" s="1"/>
  <c r="N22" i="29"/>
  <c r="Q22" i="29" s="1"/>
  <c r="N21" i="29"/>
  <c r="N20" i="29"/>
  <c r="Q20" i="29" s="1"/>
  <c r="N19" i="29"/>
  <c r="Q19" i="29" s="1"/>
  <c r="N18" i="29"/>
  <c r="N17" i="29"/>
  <c r="Q17" i="29" s="1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Q46" i="36"/>
  <c r="Q42" i="36"/>
  <c r="Q39" i="36"/>
  <c r="Q26" i="36"/>
  <c r="Q23" i="36"/>
  <c r="Q19" i="36"/>
  <c r="Q18" i="36"/>
  <c r="N46" i="36"/>
  <c r="N45" i="36"/>
  <c r="Q45" i="36" s="1"/>
  <c r="N44" i="36"/>
  <c r="Q44" i="36" s="1"/>
  <c r="N43" i="36"/>
  <c r="Q43" i="36" s="1"/>
  <c r="N42" i="36"/>
  <c r="N41" i="36"/>
  <c r="Q41" i="36" s="1"/>
  <c r="N40" i="36"/>
  <c r="Q40" i="36" s="1"/>
  <c r="N39" i="36"/>
  <c r="N38" i="36"/>
  <c r="Q38" i="36" s="1"/>
  <c r="N37" i="36"/>
  <c r="Q37" i="36" s="1"/>
  <c r="N36" i="36"/>
  <c r="Q36" i="36" s="1"/>
  <c r="N35" i="36"/>
  <c r="Q35" i="36" s="1"/>
  <c r="N34" i="36"/>
  <c r="Q34" i="36" s="1"/>
  <c r="N33" i="36"/>
  <c r="Q33" i="36" s="1"/>
  <c r="N32" i="36"/>
  <c r="Q32" i="36" s="1"/>
  <c r="N31" i="36"/>
  <c r="Q31" i="36" s="1"/>
  <c r="N30" i="36"/>
  <c r="Q30" i="36" s="1"/>
  <c r="N29" i="36"/>
  <c r="Q29" i="36" s="1"/>
  <c r="N28" i="36"/>
  <c r="Q28" i="36" s="1"/>
  <c r="N27" i="36"/>
  <c r="Q27" i="36" s="1"/>
  <c r="N26" i="36"/>
  <c r="N25" i="36"/>
  <c r="Q25" i="36" s="1"/>
  <c r="N24" i="36"/>
  <c r="Q24" i="36" s="1"/>
  <c r="N23" i="36"/>
  <c r="N22" i="36"/>
  <c r="Q22" i="36" s="1"/>
  <c r="N21" i="36"/>
  <c r="Q21" i="36" s="1"/>
  <c r="N20" i="36"/>
  <c r="Q20" i="36" s="1"/>
  <c r="N19" i="36"/>
  <c r="N18" i="36"/>
  <c r="N17" i="36"/>
  <c r="Q17" i="36" s="1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Q46" i="37"/>
  <c r="Q40" i="37"/>
  <c r="Q39" i="37"/>
  <c r="R39" i="37" s="1"/>
  <c r="Q33" i="37"/>
  <c r="Q26" i="37"/>
  <c r="Q20" i="37"/>
  <c r="N46" i="37"/>
  <c r="N45" i="37"/>
  <c r="Q45" i="37" s="1"/>
  <c r="N44" i="37"/>
  <c r="Q44" i="37" s="1"/>
  <c r="R44" i="37" s="1"/>
  <c r="N43" i="37"/>
  <c r="Q43" i="37" s="1"/>
  <c r="N42" i="37"/>
  <c r="Q42" i="37" s="1"/>
  <c r="N41" i="37"/>
  <c r="Q41" i="37" s="1"/>
  <c r="N40" i="37"/>
  <c r="N39" i="37"/>
  <c r="N38" i="37"/>
  <c r="Q38" i="37" s="1"/>
  <c r="N37" i="37"/>
  <c r="Q37" i="37" s="1"/>
  <c r="N36" i="37"/>
  <c r="Q36" i="37" s="1"/>
  <c r="N35" i="37"/>
  <c r="Q35" i="37" s="1"/>
  <c r="N34" i="37"/>
  <c r="Q34" i="37" s="1"/>
  <c r="N33" i="37"/>
  <c r="N32" i="37"/>
  <c r="Q32" i="37" s="1"/>
  <c r="N31" i="37"/>
  <c r="Q31" i="37" s="1"/>
  <c r="N30" i="37"/>
  <c r="Q30" i="37" s="1"/>
  <c r="N29" i="37"/>
  <c r="Q29" i="37" s="1"/>
  <c r="N28" i="37"/>
  <c r="Q28" i="37" s="1"/>
  <c r="N27" i="37"/>
  <c r="Q27" i="37" s="1"/>
  <c r="N26" i="37"/>
  <c r="N25" i="37"/>
  <c r="Q25" i="37" s="1"/>
  <c r="N24" i="37"/>
  <c r="Q24" i="37" s="1"/>
  <c r="N23" i="37"/>
  <c r="Q23" i="37" s="1"/>
  <c r="N22" i="37"/>
  <c r="Q22" i="37" s="1"/>
  <c r="N21" i="37"/>
  <c r="Q21" i="37" s="1"/>
  <c r="N20" i="37"/>
  <c r="N19" i="37"/>
  <c r="Q19" i="37" s="1"/>
  <c r="N18" i="37"/>
  <c r="Q18" i="37" s="1"/>
  <c r="N17" i="37"/>
  <c r="Q17" i="37" s="1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Q46" i="38"/>
  <c r="Q25" i="38"/>
  <c r="Q19" i="38"/>
  <c r="R19" i="38" s="1"/>
  <c r="Q18" i="38"/>
  <c r="N46" i="38"/>
  <c r="N45" i="38"/>
  <c r="Q45" i="38" s="1"/>
  <c r="N44" i="38"/>
  <c r="Q44" i="38" s="1"/>
  <c r="N43" i="38"/>
  <c r="Q43" i="38" s="1"/>
  <c r="N42" i="38"/>
  <c r="Q42" i="38" s="1"/>
  <c r="N41" i="38"/>
  <c r="Q41" i="38" s="1"/>
  <c r="N40" i="38"/>
  <c r="Q40" i="38" s="1"/>
  <c r="N39" i="38"/>
  <c r="Q39" i="38" s="1"/>
  <c r="N38" i="38"/>
  <c r="Q38" i="38" s="1"/>
  <c r="R38" i="38" s="1"/>
  <c r="N37" i="38"/>
  <c r="Q37" i="38" s="1"/>
  <c r="N36" i="38"/>
  <c r="Q36" i="38" s="1"/>
  <c r="N35" i="38"/>
  <c r="Q35" i="38" s="1"/>
  <c r="R35" i="38" s="1"/>
  <c r="N34" i="38"/>
  <c r="Q34" i="38" s="1"/>
  <c r="N33" i="38"/>
  <c r="Q33" i="38" s="1"/>
  <c r="N32" i="38"/>
  <c r="Q32" i="38" s="1"/>
  <c r="N31" i="38"/>
  <c r="Q31" i="38" s="1"/>
  <c r="N30" i="38"/>
  <c r="Q30" i="38" s="1"/>
  <c r="N29" i="38"/>
  <c r="Q29" i="38" s="1"/>
  <c r="N28" i="38"/>
  <c r="Q28" i="38" s="1"/>
  <c r="N27" i="38"/>
  <c r="Q27" i="38" s="1"/>
  <c r="N26" i="38"/>
  <c r="Q26" i="38" s="1"/>
  <c r="N25" i="38"/>
  <c r="N24" i="38"/>
  <c r="Q24" i="38" s="1"/>
  <c r="N23" i="38"/>
  <c r="Q23" i="38" s="1"/>
  <c r="N22" i="38"/>
  <c r="Q22" i="38" s="1"/>
  <c r="R22" i="38" s="1"/>
  <c r="N21" i="38"/>
  <c r="Q21" i="38" s="1"/>
  <c r="N20" i="38"/>
  <c r="Q20" i="38" s="1"/>
  <c r="N19" i="38"/>
  <c r="N18" i="38"/>
  <c r="N17" i="38"/>
  <c r="Q17" i="38" s="1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Q46" i="23"/>
  <c r="Q34" i="23"/>
  <c r="R34" i="23" s="1"/>
  <c r="Q33" i="23"/>
  <c r="Q26" i="23"/>
  <c r="R26" i="23" s="1"/>
  <c r="Q19" i="23"/>
  <c r="R19" i="23" s="1"/>
  <c r="Q17" i="23"/>
  <c r="N46" i="23"/>
  <c r="N45" i="23"/>
  <c r="Q45" i="23" s="1"/>
  <c r="N44" i="23"/>
  <c r="Q44" i="23" s="1"/>
  <c r="N43" i="23"/>
  <c r="Q43" i="23" s="1"/>
  <c r="N42" i="23"/>
  <c r="Q42" i="23" s="1"/>
  <c r="N41" i="23"/>
  <c r="Q41" i="23" s="1"/>
  <c r="N40" i="23"/>
  <c r="Q40" i="23" s="1"/>
  <c r="N39" i="23"/>
  <c r="Q39" i="23" s="1"/>
  <c r="N38" i="23"/>
  <c r="Q38" i="23" s="1"/>
  <c r="N37" i="23"/>
  <c r="Q37" i="23" s="1"/>
  <c r="N36" i="23"/>
  <c r="Q36" i="23" s="1"/>
  <c r="N35" i="23"/>
  <c r="Q35" i="23" s="1"/>
  <c r="N34" i="23"/>
  <c r="N33" i="23"/>
  <c r="N32" i="23"/>
  <c r="Q32" i="23" s="1"/>
  <c r="N31" i="23"/>
  <c r="Q31" i="23" s="1"/>
  <c r="N30" i="23"/>
  <c r="Q30" i="23" s="1"/>
  <c r="N29" i="23"/>
  <c r="Q29" i="23" s="1"/>
  <c r="R29" i="23" s="1"/>
  <c r="N28" i="23"/>
  <c r="Q28" i="23" s="1"/>
  <c r="N27" i="23"/>
  <c r="Q27" i="23" s="1"/>
  <c r="N26" i="23"/>
  <c r="N25" i="23"/>
  <c r="Q25" i="23" s="1"/>
  <c r="N24" i="23"/>
  <c r="Q24" i="23" s="1"/>
  <c r="N23" i="23"/>
  <c r="Q23" i="23" s="1"/>
  <c r="N22" i="23"/>
  <c r="Q22" i="23" s="1"/>
  <c r="N21" i="23"/>
  <c r="Q21" i="23" s="1"/>
  <c r="N20" i="23"/>
  <c r="Q20" i="23" s="1"/>
  <c r="N19" i="23"/>
  <c r="N18" i="23"/>
  <c r="Q18" i="23" s="1"/>
  <c r="N1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Q42" i="39"/>
  <c r="R42" i="39" s="1"/>
  <c r="Q39" i="39"/>
  <c r="Q26" i="39"/>
  <c r="Q22" i="39"/>
  <c r="Q19" i="39"/>
  <c r="Q18" i="39"/>
  <c r="N46" i="39"/>
  <c r="Q46" i="39" s="1"/>
  <c r="N45" i="39"/>
  <c r="Q45" i="39" s="1"/>
  <c r="R45" i="39" s="1"/>
  <c r="N44" i="39"/>
  <c r="Q44" i="39" s="1"/>
  <c r="N43" i="39"/>
  <c r="Q43" i="39" s="1"/>
  <c r="N42" i="39"/>
  <c r="N41" i="39"/>
  <c r="Q41" i="39" s="1"/>
  <c r="N40" i="39"/>
  <c r="Q40" i="39" s="1"/>
  <c r="N39" i="39"/>
  <c r="N38" i="39"/>
  <c r="Q38" i="39" s="1"/>
  <c r="N37" i="39"/>
  <c r="Q37" i="39" s="1"/>
  <c r="N36" i="39"/>
  <c r="Q36" i="39" s="1"/>
  <c r="N35" i="39"/>
  <c r="Q35" i="39" s="1"/>
  <c r="N34" i="39"/>
  <c r="Q34" i="39" s="1"/>
  <c r="N33" i="39"/>
  <c r="Q33" i="39" s="1"/>
  <c r="N32" i="39"/>
  <c r="Q32" i="39" s="1"/>
  <c r="N31" i="39"/>
  <c r="Q31" i="39" s="1"/>
  <c r="N30" i="39"/>
  <c r="Q30" i="39" s="1"/>
  <c r="N29" i="39"/>
  <c r="Q29" i="39" s="1"/>
  <c r="N28" i="39"/>
  <c r="Q28" i="39" s="1"/>
  <c r="N27" i="39"/>
  <c r="Q27" i="39" s="1"/>
  <c r="N26" i="39"/>
  <c r="N25" i="39"/>
  <c r="Q25" i="39" s="1"/>
  <c r="N24" i="39"/>
  <c r="Q24" i="39" s="1"/>
  <c r="N23" i="39"/>
  <c r="Q23" i="39" s="1"/>
  <c r="N22" i="39"/>
  <c r="N21" i="39"/>
  <c r="Q21" i="39" s="1"/>
  <c r="N20" i="39"/>
  <c r="Q20" i="39" s="1"/>
  <c r="N19" i="39"/>
  <c r="N18" i="39"/>
  <c r="N17" i="39"/>
  <c r="Q17" i="39" s="1"/>
  <c r="J46" i="39"/>
  <c r="R46" i="39" s="1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R22" i="39" s="1"/>
  <c r="J21" i="39"/>
  <c r="J20" i="39"/>
  <c r="J19" i="39"/>
  <c r="J18" i="39"/>
  <c r="R18" i="39" s="1"/>
  <c r="J1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Q46" i="15"/>
  <c r="Q39" i="15"/>
  <c r="Q33" i="15"/>
  <c r="Q32" i="15"/>
  <c r="Q29" i="15"/>
  <c r="Q26" i="15"/>
  <c r="Q25" i="15"/>
  <c r="Q22" i="15"/>
  <c r="Q19" i="15"/>
  <c r="Q18" i="15"/>
  <c r="N46" i="15"/>
  <c r="N45" i="15"/>
  <c r="Q45" i="15" s="1"/>
  <c r="N44" i="15"/>
  <c r="Q44" i="15" s="1"/>
  <c r="N43" i="15"/>
  <c r="Q43" i="15" s="1"/>
  <c r="N42" i="15"/>
  <c r="Q42" i="15" s="1"/>
  <c r="N41" i="15"/>
  <c r="Q41" i="15" s="1"/>
  <c r="N40" i="15"/>
  <c r="Q40" i="15" s="1"/>
  <c r="N39" i="15"/>
  <c r="N38" i="15"/>
  <c r="Q38" i="15" s="1"/>
  <c r="N37" i="15"/>
  <c r="Q37" i="15" s="1"/>
  <c r="N36" i="15"/>
  <c r="Q36" i="15" s="1"/>
  <c r="N35" i="15"/>
  <c r="Q35" i="15" s="1"/>
  <c r="N34" i="15"/>
  <c r="Q34" i="15" s="1"/>
  <c r="N33" i="15"/>
  <c r="N32" i="15"/>
  <c r="N31" i="15"/>
  <c r="Q31" i="15" s="1"/>
  <c r="N30" i="15"/>
  <c r="Q30" i="15" s="1"/>
  <c r="N29" i="15"/>
  <c r="N28" i="15"/>
  <c r="Q28" i="15" s="1"/>
  <c r="N27" i="15"/>
  <c r="Q27" i="15" s="1"/>
  <c r="N26" i="15"/>
  <c r="N25" i="15"/>
  <c r="N24" i="15"/>
  <c r="Q24" i="15" s="1"/>
  <c r="N23" i="15"/>
  <c r="Q23" i="15" s="1"/>
  <c r="N22" i="15"/>
  <c r="N21" i="15"/>
  <c r="Q21" i="15" s="1"/>
  <c r="N20" i="15"/>
  <c r="Q20" i="15" s="1"/>
  <c r="N19" i="15"/>
  <c r="N18" i="15"/>
  <c r="N17" i="15"/>
  <c r="Q17" i="15" s="1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Q39" i="40"/>
  <c r="Q32" i="40"/>
  <c r="Q26" i="40"/>
  <c r="Q19" i="40"/>
  <c r="Q18" i="40"/>
  <c r="N46" i="40"/>
  <c r="Q46" i="40" s="1"/>
  <c r="N45" i="40"/>
  <c r="Q45" i="40" s="1"/>
  <c r="N44" i="40"/>
  <c r="Q44" i="40" s="1"/>
  <c r="N43" i="40"/>
  <c r="Q43" i="40" s="1"/>
  <c r="N42" i="40"/>
  <c r="Q42" i="40" s="1"/>
  <c r="N41" i="40"/>
  <c r="Q41" i="40" s="1"/>
  <c r="N40" i="40"/>
  <c r="Q40" i="40" s="1"/>
  <c r="N39" i="40"/>
  <c r="N38" i="40"/>
  <c r="Q38" i="40" s="1"/>
  <c r="N37" i="40"/>
  <c r="Q37" i="40" s="1"/>
  <c r="N36" i="40"/>
  <c r="Q36" i="40" s="1"/>
  <c r="N35" i="40"/>
  <c r="Q35" i="40" s="1"/>
  <c r="N34" i="40"/>
  <c r="Q34" i="40" s="1"/>
  <c r="N33" i="40"/>
  <c r="Q33" i="40" s="1"/>
  <c r="N32" i="40"/>
  <c r="N31" i="40"/>
  <c r="Q31" i="40" s="1"/>
  <c r="N30" i="40"/>
  <c r="Q30" i="40" s="1"/>
  <c r="R30" i="40" s="1"/>
  <c r="N29" i="40"/>
  <c r="Q29" i="40" s="1"/>
  <c r="N28" i="40"/>
  <c r="Q28" i="40" s="1"/>
  <c r="N27" i="40"/>
  <c r="Q27" i="40" s="1"/>
  <c r="N26" i="40"/>
  <c r="N25" i="40"/>
  <c r="Q25" i="40" s="1"/>
  <c r="N24" i="40"/>
  <c r="Q24" i="40" s="1"/>
  <c r="N23" i="40"/>
  <c r="Q23" i="40" s="1"/>
  <c r="N22" i="40"/>
  <c r="Q22" i="40" s="1"/>
  <c r="N21" i="40"/>
  <c r="Q21" i="40" s="1"/>
  <c r="N20" i="40"/>
  <c r="Q20" i="40" s="1"/>
  <c r="N19" i="40"/>
  <c r="N18" i="40"/>
  <c r="N17" i="40"/>
  <c r="Q17" i="40" s="1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R26" i="40" s="1"/>
  <c r="J25" i="40"/>
  <c r="J24" i="40"/>
  <c r="J23" i="40"/>
  <c r="J22" i="40"/>
  <c r="J21" i="40"/>
  <c r="J20" i="40"/>
  <c r="J19" i="40"/>
  <c r="J18" i="40"/>
  <c r="J1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Q46" i="14"/>
  <c r="Q42" i="14"/>
  <c r="Q26" i="14"/>
  <c r="Q22" i="14"/>
  <c r="Q19" i="14"/>
  <c r="Q18" i="14"/>
  <c r="N46" i="14"/>
  <c r="N45" i="14"/>
  <c r="Q45" i="14" s="1"/>
  <c r="N44" i="14"/>
  <c r="Q44" i="14" s="1"/>
  <c r="N43" i="14"/>
  <c r="Q43" i="14" s="1"/>
  <c r="N42" i="14"/>
  <c r="N41" i="14"/>
  <c r="Q41" i="14" s="1"/>
  <c r="N40" i="14"/>
  <c r="Q40" i="14" s="1"/>
  <c r="N39" i="14"/>
  <c r="Q39" i="14" s="1"/>
  <c r="N38" i="14"/>
  <c r="Q38" i="14" s="1"/>
  <c r="N37" i="14"/>
  <c r="Q37" i="14" s="1"/>
  <c r="N36" i="14"/>
  <c r="Q36" i="14" s="1"/>
  <c r="N35" i="14"/>
  <c r="Q35" i="14" s="1"/>
  <c r="N34" i="14"/>
  <c r="Q34" i="14" s="1"/>
  <c r="N33" i="14"/>
  <c r="Q33" i="14" s="1"/>
  <c r="N32" i="14"/>
  <c r="Q32" i="14" s="1"/>
  <c r="N31" i="14"/>
  <c r="Q31" i="14" s="1"/>
  <c r="N30" i="14"/>
  <c r="Q30" i="14" s="1"/>
  <c r="N29" i="14"/>
  <c r="Q29" i="14" s="1"/>
  <c r="N28" i="14"/>
  <c r="Q28" i="14" s="1"/>
  <c r="N27" i="14"/>
  <c r="Q27" i="14" s="1"/>
  <c r="N26" i="14"/>
  <c r="N25" i="14"/>
  <c r="Q25" i="14" s="1"/>
  <c r="N24" i="14"/>
  <c r="Q24" i="14" s="1"/>
  <c r="N23" i="14"/>
  <c r="Q23" i="14" s="1"/>
  <c r="N22" i="14"/>
  <c r="N21" i="14"/>
  <c r="Q21" i="14" s="1"/>
  <c r="N20" i="14"/>
  <c r="Q20" i="14" s="1"/>
  <c r="N19" i="14"/>
  <c r="N18" i="14"/>
  <c r="N17" i="14"/>
  <c r="Q17" i="14" s="1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Q46" i="16"/>
  <c r="Q35" i="16"/>
  <c r="Q25" i="16"/>
  <c r="Q18" i="16"/>
  <c r="N46" i="16"/>
  <c r="N45" i="16"/>
  <c r="Q45" i="16" s="1"/>
  <c r="N44" i="16"/>
  <c r="Q44" i="16" s="1"/>
  <c r="N43" i="16"/>
  <c r="Q43" i="16" s="1"/>
  <c r="N42" i="16"/>
  <c r="Q42" i="16" s="1"/>
  <c r="N41" i="16"/>
  <c r="Q41" i="16" s="1"/>
  <c r="N40" i="16"/>
  <c r="Q40" i="16" s="1"/>
  <c r="N39" i="16"/>
  <c r="Q39" i="16" s="1"/>
  <c r="N38" i="16"/>
  <c r="Q38" i="16" s="1"/>
  <c r="N37" i="16"/>
  <c r="Q37" i="16" s="1"/>
  <c r="N36" i="16"/>
  <c r="Q36" i="16" s="1"/>
  <c r="N35" i="16"/>
  <c r="N34" i="16"/>
  <c r="Q34" i="16" s="1"/>
  <c r="N33" i="16"/>
  <c r="Q33" i="16" s="1"/>
  <c r="N32" i="16"/>
  <c r="Q32" i="16" s="1"/>
  <c r="N31" i="16"/>
  <c r="Q31" i="16" s="1"/>
  <c r="N30" i="16"/>
  <c r="Q30" i="16" s="1"/>
  <c r="N29" i="16"/>
  <c r="Q29" i="16" s="1"/>
  <c r="N28" i="16"/>
  <c r="Q28" i="16" s="1"/>
  <c r="N27" i="16"/>
  <c r="Q27" i="16" s="1"/>
  <c r="N26" i="16"/>
  <c r="Q26" i="16" s="1"/>
  <c r="N25" i="16"/>
  <c r="N24" i="16"/>
  <c r="Q24" i="16" s="1"/>
  <c r="N23" i="16"/>
  <c r="Q23" i="16" s="1"/>
  <c r="N22" i="16"/>
  <c r="Q22" i="16" s="1"/>
  <c r="N21" i="16"/>
  <c r="Q21" i="16" s="1"/>
  <c r="N20" i="16"/>
  <c r="Q20" i="16" s="1"/>
  <c r="N19" i="16"/>
  <c r="Q19" i="16" s="1"/>
  <c r="N18" i="16"/>
  <c r="N17" i="16"/>
  <c r="Q17" i="16" s="1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Q46" i="17"/>
  <c r="Q26" i="17"/>
  <c r="Q23" i="17"/>
  <c r="Q19" i="17"/>
  <c r="Q18" i="17"/>
  <c r="N46" i="17"/>
  <c r="N45" i="17"/>
  <c r="Q45" i="17" s="1"/>
  <c r="N44" i="17"/>
  <c r="Q44" i="17" s="1"/>
  <c r="N43" i="17"/>
  <c r="Q43" i="17" s="1"/>
  <c r="N42" i="17"/>
  <c r="Q42" i="17" s="1"/>
  <c r="N41" i="17"/>
  <c r="Q41" i="17" s="1"/>
  <c r="N40" i="17"/>
  <c r="Q40" i="17" s="1"/>
  <c r="N39" i="17"/>
  <c r="Q39" i="17" s="1"/>
  <c r="N38" i="17"/>
  <c r="Q38" i="17" s="1"/>
  <c r="N37" i="17"/>
  <c r="Q37" i="17" s="1"/>
  <c r="N36" i="17"/>
  <c r="Q36" i="17" s="1"/>
  <c r="N35" i="17"/>
  <c r="Q35" i="17" s="1"/>
  <c r="N34" i="17"/>
  <c r="Q34" i="17" s="1"/>
  <c r="N33" i="17"/>
  <c r="Q33" i="17" s="1"/>
  <c r="N32" i="17"/>
  <c r="Q32" i="17" s="1"/>
  <c r="N31" i="17"/>
  <c r="Q31" i="17" s="1"/>
  <c r="N30" i="17"/>
  <c r="Q30" i="17" s="1"/>
  <c r="N29" i="17"/>
  <c r="Q29" i="17" s="1"/>
  <c r="N28" i="17"/>
  <c r="Q28" i="17" s="1"/>
  <c r="N27" i="17"/>
  <c r="Q27" i="17" s="1"/>
  <c r="N26" i="17"/>
  <c r="N25" i="17"/>
  <c r="Q25" i="17" s="1"/>
  <c r="N24" i="17"/>
  <c r="Q24" i="17" s="1"/>
  <c r="N23" i="17"/>
  <c r="N22" i="17"/>
  <c r="Q22" i="17" s="1"/>
  <c r="N21" i="17"/>
  <c r="Q21" i="17" s="1"/>
  <c r="N20" i="17"/>
  <c r="Q20" i="17" s="1"/>
  <c r="N19" i="17"/>
  <c r="N18" i="17"/>
  <c r="N17" i="17"/>
  <c r="Q17" i="17" s="1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Q46" i="7"/>
  <c r="Q40" i="7"/>
  <c r="Q33" i="7"/>
  <c r="Q17" i="7"/>
  <c r="N46" i="7"/>
  <c r="N45" i="7"/>
  <c r="Q45" i="7" s="1"/>
  <c r="N44" i="7"/>
  <c r="Q44" i="7" s="1"/>
  <c r="R44" i="7" s="1"/>
  <c r="N43" i="7"/>
  <c r="Q43" i="7" s="1"/>
  <c r="N42" i="7"/>
  <c r="Q42" i="7" s="1"/>
  <c r="N41" i="7"/>
  <c r="Q41" i="7" s="1"/>
  <c r="N40" i="7"/>
  <c r="N39" i="7"/>
  <c r="Q39" i="7" s="1"/>
  <c r="N38" i="7"/>
  <c r="Q38" i="7" s="1"/>
  <c r="N37" i="7"/>
  <c r="Q37" i="7" s="1"/>
  <c r="N36" i="7"/>
  <c r="Q36" i="7" s="1"/>
  <c r="N35" i="7"/>
  <c r="Q35" i="7" s="1"/>
  <c r="N34" i="7"/>
  <c r="Q34" i="7" s="1"/>
  <c r="N33" i="7"/>
  <c r="N32" i="7"/>
  <c r="Q32" i="7" s="1"/>
  <c r="N31" i="7"/>
  <c r="Q31" i="7" s="1"/>
  <c r="N30" i="7"/>
  <c r="Q30" i="7" s="1"/>
  <c r="N29" i="7"/>
  <c r="Q29" i="7" s="1"/>
  <c r="R29" i="7" s="1"/>
  <c r="N28" i="7"/>
  <c r="Q28" i="7" s="1"/>
  <c r="N27" i="7"/>
  <c r="Q27" i="7" s="1"/>
  <c r="N26" i="7"/>
  <c r="Q26" i="7" s="1"/>
  <c r="N25" i="7"/>
  <c r="Q25" i="7" s="1"/>
  <c r="N24" i="7"/>
  <c r="Q24" i="7" s="1"/>
  <c r="N23" i="7"/>
  <c r="Q23" i="7" s="1"/>
  <c r="N22" i="7"/>
  <c r="Q22" i="7" s="1"/>
  <c r="N21" i="7"/>
  <c r="Q21" i="7" s="1"/>
  <c r="N20" i="7"/>
  <c r="Q20" i="7" s="1"/>
  <c r="N19" i="7"/>
  <c r="Q19" i="7" s="1"/>
  <c r="N18" i="7"/>
  <c r="Q18" i="7" s="1"/>
  <c r="N1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Q46" i="46"/>
  <c r="Q41" i="46"/>
  <c r="Q33" i="46"/>
  <c r="Q30" i="46"/>
  <c r="Q26" i="46"/>
  <c r="Q25" i="46"/>
  <c r="N46" i="46"/>
  <c r="N45" i="46"/>
  <c r="Q45" i="46" s="1"/>
  <c r="N44" i="46"/>
  <c r="Q44" i="46" s="1"/>
  <c r="N43" i="46"/>
  <c r="Q43" i="46" s="1"/>
  <c r="N42" i="46"/>
  <c r="Q42" i="46" s="1"/>
  <c r="N41" i="46"/>
  <c r="N40" i="46"/>
  <c r="Q40" i="46" s="1"/>
  <c r="N39" i="46"/>
  <c r="Q39" i="46" s="1"/>
  <c r="N38" i="46"/>
  <c r="Q38" i="46" s="1"/>
  <c r="N37" i="46"/>
  <c r="Q37" i="46" s="1"/>
  <c r="N36" i="46"/>
  <c r="Q36" i="46" s="1"/>
  <c r="N35" i="46"/>
  <c r="Q35" i="46" s="1"/>
  <c r="N34" i="46"/>
  <c r="Q34" i="46" s="1"/>
  <c r="N33" i="46"/>
  <c r="N32" i="46"/>
  <c r="Q32" i="46" s="1"/>
  <c r="N31" i="46"/>
  <c r="Q31" i="46" s="1"/>
  <c r="N30" i="46"/>
  <c r="N29" i="46"/>
  <c r="Q29" i="46" s="1"/>
  <c r="N28" i="46"/>
  <c r="Q28" i="46" s="1"/>
  <c r="N27" i="46"/>
  <c r="Q27" i="46" s="1"/>
  <c r="N26" i="46"/>
  <c r="N25" i="46"/>
  <c r="N24" i="46"/>
  <c r="Q24" i="46" s="1"/>
  <c r="N23" i="46"/>
  <c r="Q23" i="46" s="1"/>
  <c r="N22" i="46"/>
  <c r="Q22" i="46" s="1"/>
  <c r="N21" i="46"/>
  <c r="Q21" i="46" s="1"/>
  <c r="N20" i="46"/>
  <c r="Q20" i="46" s="1"/>
  <c r="N19" i="46"/>
  <c r="Q19" i="46" s="1"/>
  <c r="N18" i="46"/>
  <c r="Q18" i="46" s="1"/>
  <c r="N17" i="46"/>
  <c r="Q17" i="46" s="1"/>
  <c r="J46" i="46"/>
  <c r="J45" i="46"/>
  <c r="J44" i="46"/>
  <c r="J43" i="46"/>
  <c r="J42" i="46"/>
  <c r="J41" i="46"/>
  <c r="J40" i="46"/>
  <c r="J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Q46" i="19"/>
  <c r="Q42" i="19"/>
  <c r="Q38" i="19"/>
  <c r="Q18" i="19"/>
  <c r="N46" i="19"/>
  <c r="N45" i="19"/>
  <c r="Q45" i="19" s="1"/>
  <c r="N44" i="19"/>
  <c r="Q44" i="19" s="1"/>
  <c r="N43" i="19"/>
  <c r="Q43" i="19" s="1"/>
  <c r="N42" i="19"/>
  <c r="N41" i="19"/>
  <c r="Q41" i="19" s="1"/>
  <c r="N40" i="19"/>
  <c r="Q40" i="19" s="1"/>
  <c r="N39" i="19"/>
  <c r="Q39" i="19" s="1"/>
  <c r="N38" i="19"/>
  <c r="N37" i="19"/>
  <c r="Q37" i="19" s="1"/>
  <c r="N36" i="19"/>
  <c r="Q36" i="19" s="1"/>
  <c r="N35" i="19"/>
  <c r="Q35" i="19" s="1"/>
  <c r="N34" i="19"/>
  <c r="Q34" i="19" s="1"/>
  <c r="N33" i="19"/>
  <c r="Q33" i="19" s="1"/>
  <c r="N32" i="19"/>
  <c r="Q32" i="19" s="1"/>
  <c r="N31" i="19"/>
  <c r="Q31" i="19" s="1"/>
  <c r="N30" i="19"/>
  <c r="Q30" i="19" s="1"/>
  <c r="N29" i="19"/>
  <c r="Q29" i="19" s="1"/>
  <c r="N28" i="19"/>
  <c r="Q28" i="19" s="1"/>
  <c r="N27" i="19"/>
  <c r="Q27" i="19" s="1"/>
  <c r="N26" i="19"/>
  <c r="Q26" i="19" s="1"/>
  <c r="N25" i="19"/>
  <c r="Q25" i="19" s="1"/>
  <c r="N24" i="19"/>
  <c r="Q24" i="19" s="1"/>
  <c r="N23" i="19"/>
  <c r="Q23" i="19" s="1"/>
  <c r="N22" i="19"/>
  <c r="Q22" i="19" s="1"/>
  <c r="N21" i="19"/>
  <c r="Q21" i="19" s="1"/>
  <c r="N20" i="19"/>
  <c r="Q20" i="19" s="1"/>
  <c r="N19" i="19"/>
  <c r="Q19" i="19" s="1"/>
  <c r="N18" i="19"/>
  <c r="N17" i="19"/>
  <c r="Q17" i="19" s="1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R18" i="19" s="1"/>
  <c r="J1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Q33" i="18"/>
  <c r="Q32" i="18"/>
  <c r="R32" i="18" s="1"/>
  <c r="N46" i="18"/>
  <c r="Q46" i="18" s="1"/>
  <c r="N45" i="18"/>
  <c r="Q45" i="18" s="1"/>
  <c r="N44" i="18"/>
  <c r="Q44" i="18" s="1"/>
  <c r="R44" i="18" s="1"/>
  <c r="N43" i="18"/>
  <c r="Q43" i="18" s="1"/>
  <c r="N42" i="18"/>
  <c r="Q42" i="18" s="1"/>
  <c r="N41" i="18"/>
  <c r="Q41" i="18" s="1"/>
  <c r="N40" i="18"/>
  <c r="Q40" i="18" s="1"/>
  <c r="R40" i="18" s="1"/>
  <c r="N39" i="18"/>
  <c r="Q39" i="18" s="1"/>
  <c r="N38" i="18"/>
  <c r="Q38" i="18" s="1"/>
  <c r="N37" i="18"/>
  <c r="Q37" i="18" s="1"/>
  <c r="N36" i="18"/>
  <c r="Q36" i="18" s="1"/>
  <c r="N35" i="18"/>
  <c r="Q35" i="18" s="1"/>
  <c r="N34" i="18"/>
  <c r="Q34" i="18" s="1"/>
  <c r="N33" i="18"/>
  <c r="N32" i="18"/>
  <c r="N31" i="18"/>
  <c r="Q31" i="18" s="1"/>
  <c r="N30" i="18"/>
  <c r="Q30" i="18" s="1"/>
  <c r="N29" i="18"/>
  <c r="Q29" i="18" s="1"/>
  <c r="N28" i="18"/>
  <c r="Q28" i="18" s="1"/>
  <c r="R28" i="18" s="1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2" i="18"/>
  <c r="J21" i="18"/>
  <c r="J20" i="18"/>
  <c r="J19" i="18"/>
  <c r="J18" i="18"/>
  <c r="J1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Q46" i="49"/>
  <c r="Q33" i="49"/>
  <c r="Q30" i="49"/>
  <c r="Q18" i="49"/>
  <c r="N46" i="49"/>
  <c r="N45" i="49"/>
  <c r="Q45" i="49" s="1"/>
  <c r="N44" i="49"/>
  <c r="Q44" i="49" s="1"/>
  <c r="N43" i="49"/>
  <c r="Q43" i="49" s="1"/>
  <c r="N42" i="49"/>
  <c r="Q42" i="49" s="1"/>
  <c r="N41" i="49"/>
  <c r="Q41" i="49" s="1"/>
  <c r="N40" i="49"/>
  <c r="Q40" i="49" s="1"/>
  <c r="N39" i="49"/>
  <c r="Q39" i="49" s="1"/>
  <c r="N38" i="49"/>
  <c r="Q38" i="49" s="1"/>
  <c r="N37" i="49"/>
  <c r="Q37" i="49" s="1"/>
  <c r="N36" i="49"/>
  <c r="Q36" i="49" s="1"/>
  <c r="N35" i="49"/>
  <c r="Q35" i="49" s="1"/>
  <c r="N34" i="49"/>
  <c r="Q34" i="49" s="1"/>
  <c r="N33" i="49"/>
  <c r="N32" i="49"/>
  <c r="Q32" i="49" s="1"/>
  <c r="N31" i="49"/>
  <c r="Q31" i="49" s="1"/>
  <c r="N30" i="49"/>
  <c r="N29" i="49"/>
  <c r="Q29" i="49" s="1"/>
  <c r="N28" i="49"/>
  <c r="Q28" i="49" s="1"/>
  <c r="N27" i="49"/>
  <c r="Q27" i="49" s="1"/>
  <c r="N26" i="49"/>
  <c r="Q26" i="49" s="1"/>
  <c r="N25" i="49"/>
  <c r="Q25" i="49" s="1"/>
  <c r="N24" i="49"/>
  <c r="Q24" i="49" s="1"/>
  <c r="N23" i="49"/>
  <c r="Q23" i="49" s="1"/>
  <c r="N22" i="49"/>
  <c r="Q22" i="49" s="1"/>
  <c r="N21" i="49"/>
  <c r="Q21" i="49" s="1"/>
  <c r="N20" i="49"/>
  <c r="Q20" i="49" s="1"/>
  <c r="N19" i="49"/>
  <c r="Q19" i="49" s="1"/>
  <c r="N18" i="49"/>
  <c r="N17" i="49"/>
  <c r="Q17" i="49" s="1"/>
  <c r="J46" i="49"/>
  <c r="J45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Q40" i="32"/>
  <c r="R40" i="32" s="1"/>
  <c r="Q37" i="32"/>
  <c r="Q32" i="32"/>
  <c r="R32" i="32" s="1"/>
  <c r="Q28" i="32"/>
  <c r="Q25" i="32"/>
  <c r="Q19" i="32"/>
  <c r="Q17" i="32"/>
  <c r="N46" i="32"/>
  <c r="Q46" i="32" s="1"/>
  <c r="N45" i="32"/>
  <c r="Q45" i="32" s="1"/>
  <c r="N44" i="32"/>
  <c r="Q44" i="32" s="1"/>
  <c r="N43" i="32"/>
  <c r="Q43" i="32" s="1"/>
  <c r="N42" i="32"/>
  <c r="Q42" i="32" s="1"/>
  <c r="N41" i="32"/>
  <c r="Q41" i="32" s="1"/>
  <c r="N40" i="32"/>
  <c r="N39" i="32"/>
  <c r="Q39" i="32" s="1"/>
  <c r="N38" i="32"/>
  <c r="Q38" i="32" s="1"/>
  <c r="N37" i="32"/>
  <c r="N36" i="32"/>
  <c r="Q36" i="32" s="1"/>
  <c r="N35" i="32"/>
  <c r="Q35" i="32" s="1"/>
  <c r="N34" i="32"/>
  <c r="Q34" i="32" s="1"/>
  <c r="N33" i="32"/>
  <c r="Q33" i="32" s="1"/>
  <c r="N32" i="32"/>
  <c r="N31" i="32"/>
  <c r="Q31" i="32" s="1"/>
  <c r="N30" i="32"/>
  <c r="Q30" i="32" s="1"/>
  <c r="N29" i="32"/>
  <c r="Q29" i="32" s="1"/>
  <c r="N28" i="32"/>
  <c r="N27" i="32"/>
  <c r="Q27" i="32" s="1"/>
  <c r="N26" i="32"/>
  <c r="Q26" i="32" s="1"/>
  <c r="N25" i="32"/>
  <c r="N24" i="32"/>
  <c r="Q24" i="32" s="1"/>
  <c r="N23" i="32"/>
  <c r="Q23" i="32" s="1"/>
  <c r="N22" i="32"/>
  <c r="Q22" i="32" s="1"/>
  <c r="N21" i="32"/>
  <c r="Q21" i="32" s="1"/>
  <c r="N20" i="32"/>
  <c r="Q20" i="32" s="1"/>
  <c r="N19" i="32"/>
  <c r="N18" i="32"/>
  <c r="Q18" i="32" s="1"/>
  <c r="N1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R28" i="32" s="1"/>
  <c r="J27" i="32"/>
  <c r="J26" i="32"/>
  <c r="J25" i="32"/>
  <c r="J24" i="32"/>
  <c r="J23" i="32"/>
  <c r="J22" i="32"/>
  <c r="J21" i="32"/>
  <c r="J20" i="32"/>
  <c r="J19" i="32"/>
  <c r="J18" i="32"/>
  <c r="J1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Q40" i="52"/>
  <c r="Q19" i="52"/>
  <c r="N46" i="52"/>
  <c r="Q46" i="52" s="1"/>
  <c r="N45" i="52"/>
  <c r="Q45" i="52" s="1"/>
  <c r="N44" i="52"/>
  <c r="Q44" i="52" s="1"/>
  <c r="N43" i="52"/>
  <c r="Q43" i="52" s="1"/>
  <c r="N42" i="52"/>
  <c r="Q42" i="52" s="1"/>
  <c r="N41" i="52"/>
  <c r="Q41" i="52" s="1"/>
  <c r="N40" i="52"/>
  <c r="N39" i="52"/>
  <c r="Q39" i="52" s="1"/>
  <c r="N38" i="52"/>
  <c r="Q38" i="52" s="1"/>
  <c r="N37" i="52"/>
  <c r="Q37" i="52" s="1"/>
  <c r="N36" i="52"/>
  <c r="Q36" i="52" s="1"/>
  <c r="N35" i="52"/>
  <c r="Q35" i="52" s="1"/>
  <c r="N34" i="52"/>
  <c r="Q34" i="52" s="1"/>
  <c r="N33" i="52"/>
  <c r="Q33" i="52" s="1"/>
  <c r="N32" i="52"/>
  <c r="Q32" i="52" s="1"/>
  <c r="N31" i="52"/>
  <c r="Q31" i="52" s="1"/>
  <c r="N30" i="52"/>
  <c r="Q30" i="52" s="1"/>
  <c r="N29" i="52"/>
  <c r="Q29" i="52" s="1"/>
  <c r="N28" i="52"/>
  <c r="Q28" i="52" s="1"/>
  <c r="N27" i="52"/>
  <c r="Q27" i="52" s="1"/>
  <c r="N26" i="52"/>
  <c r="Q26" i="52" s="1"/>
  <c r="N25" i="52"/>
  <c r="Q25" i="52" s="1"/>
  <c r="N24" i="52"/>
  <c r="Q24" i="52" s="1"/>
  <c r="N23" i="52"/>
  <c r="Q23" i="52" s="1"/>
  <c r="N22" i="52"/>
  <c r="Q22" i="52" s="1"/>
  <c r="N21" i="52"/>
  <c r="Q21" i="52" s="1"/>
  <c r="N20" i="52"/>
  <c r="Q20" i="52" s="1"/>
  <c r="N19" i="52"/>
  <c r="N18" i="52"/>
  <c r="Q18" i="52" s="1"/>
  <c r="N17" i="52"/>
  <c r="Q17" i="52" s="1"/>
  <c r="J46" i="52"/>
  <c r="J45" i="52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F30" i="52"/>
  <c r="F29" i="52"/>
  <c r="F28" i="52"/>
  <c r="F27" i="52"/>
  <c r="F26" i="52"/>
  <c r="F25" i="52"/>
  <c r="F24" i="52"/>
  <c r="F23" i="52"/>
  <c r="F22" i="52"/>
  <c r="F21" i="52"/>
  <c r="F20" i="52"/>
  <c r="F19" i="52"/>
  <c r="F18" i="52"/>
  <c r="F17" i="52"/>
  <c r="Q45" i="20"/>
  <c r="Q40" i="20"/>
  <c r="N46" i="20"/>
  <c r="Q46" i="20" s="1"/>
  <c r="N45" i="20"/>
  <c r="N44" i="20"/>
  <c r="Q44" i="20" s="1"/>
  <c r="N43" i="20"/>
  <c r="Q43" i="20" s="1"/>
  <c r="N42" i="20"/>
  <c r="Q42" i="20" s="1"/>
  <c r="N41" i="20"/>
  <c r="Q41" i="20" s="1"/>
  <c r="N40" i="20"/>
  <c r="N39" i="20"/>
  <c r="Q39" i="20" s="1"/>
  <c r="N38" i="20"/>
  <c r="Q38" i="20" s="1"/>
  <c r="N37" i="20"/>
  <c r="Q37" i="20" s="1"/>
  <c r="N36" i="20"/>
  <c r="Q36" i="20" s="1"/>
  <c r="N35" i="20"/>
  <c r="Q35" i="20" s="1"/>
  <c r="N34" i="20"/>
  <c r="Q34" i="20" s="1"/>
  <c r="N33" i="20"/>
  <c r="Q33" i="20" s="1"/>
  <c r="N32" i="20"/>
  <c r="Q32" i="20" s="1"/>
  <c r="N31" i="20"/>
  <c r="Q31" i="20" s="1"/>
  <c r="N30" i="20"/>
  <c r="Q30" i="20" s="1"/>
  <c r="N29" i="20"/>
  <c r="Q29" i="20" s="1"/>
  <c r="N28" i="20"/>
  <c r="Q28" i="20" s="1"/>
  <c r="N27" i="20"/>
  <c r="Q27" i="20" s="1"/>
  <c r="N26" i="20"/>
  <c r="Q26" i="20" s="1"/>
  <c r="N25" i="20"/>
  <c r="Q25" i="20" s="1"/>
  <c r="N24" i="20"/>
  <c r="Q24" i="20" s="1"/>
  <c r="N23" i="20"/>
  <c r="Q23" i="20" s="1"/>
  <c r="R23" i="20" s="1"/>
  <c r="N22" i="20"/>
  <c r="Q22" i="20" s="1"/>
  <c r="N21" i="20"/>
  <c r="Q21" i="20" s="1"/>
  <c r="N20" i="20"/>
  <c r="Q20" i="20" s="1"/>
  <c r="N19" i="20"/>
  <c r="Q19" i="20" s="1"/>
  <c r="N18" i="20"/>
  <c r="Q18" i="20" s="1"/>
  <c r="N17" i="20"/>
  <c r="Q17" i="20" s="1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Q33" i="6"/>
  <c r="Q17" i="6"/>
  <c r="N46" i="6"/>
  <c r="Q46" i="6" s="1"/>
  <c r="N45" i="6"/>
  <c r="Q45" i="6" s="1"/>
  <c r="N44" i="6"/>
  <c r="Q44" i="6" s="1"/>
  <c r="N43" i="6"/>
  <c r="Q43" i="6" s="1"/>
  <c r="N42" i="6"/>
  <c r="Q42" i="6" s="1"/>
  <c r="N41" i="6"/>
  <c r="Q41" i="6" s="1"/>
  <c r="N40" i="6"/>
  <c r="Q40" i="6" s="1"/>
  <c r="N39" i="6"/>
  <c r="Q39" i="6" s="1"/>
  <c r="N38" i="6"/>
  <c r="Q38" i="6" s="1"/>
  <c r="N37" i="6"/>
  <c r="Q37" i="6" s="1"/>
  <c r="N36" i="6"/>
  <c r="Q36" i="6" s="1"/>
  <c r="N35" i="6"/>
  <c r="Q35" i="6" s="1"/>
  <c r="N34" i="6"/>
  <c r="Q34" i="6" s="1"/>
  <c r="N33" i="6"/>
  <c r="N32" i="6"/>
  <c r="Q32" i="6" s="1"/>
  <c r="N31" i="6"/>
  <c r="Q31" i="6" s="1"/>
  <c r="N30" i="6"/>
  <c r="Q30" i="6" s="1"/>
  <c r="N29" i="6"/>
  <c r="Q29" i="6" s="1"/>
  <c r="N28" i="6"/>
  <c r="Q28" i="6" s="1"/>
  <c r="N27" i="6"/>
  <c r="Q27" i="6" s="1"/>
  <c r="N26" i="6"/>
  <c r="Q26" i="6" s="1"/>
  <c r="N25" i="6"/>
  <c r="Q25" i="6" s="1"/>
  <c r="N24" i="6"/>
  <c r="Q24" i="6" s="1"/>
  <c r="N23" i="6"/>
  <c r="Q23" i="6" s="1"/>
  <c r="N22" i="6"/>
  <c r="Q22" i="6" s="1"/>
  <c r="N21" i="6"/>
  <c r="Q21" i="6" s="1"/>
  <c r="N20" i="6"/>
  <c r="Q20" i="6" s="1"/>
  <c r="N19" i="6"/>
  <c r="Q19" i="6" s="1"/>
  <c r="N18" i="6"/>
  <c r="Q18" i="6" s="1"/>
  <c r="N1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Q22" i="5"/>
  <c r="Q19" i="5"/>
  <c r="Q18" i="5"/>
  <c r="R18" i="5" s="1"/>
  <c r="N46" i="5"/>
  <c r="Q46" i="5" s="1"/>
  <c r="R46" i="5" s="1"/>
  <c r="N45" i="5"/>
  <c r="Q45" i="5" s="1"/>
  <c r="N44" i="5"/>
  <c r="Q44" i="5" s="1"/>
  <c r="N43" i="5"/>
  <c r="Q43" i="5" s="1"/>
  <c r="N42" i="5"/>
  <c r="Q42" i="5" s="1"/>
  <c r="N41" i="5"/>
  <c r="Q41" i="5" s="1"/>
  <c r="N40" i="5"/>
  <c r="Q40" i="5" s="1"/>
  <c r="N39" i="5"/>
  <c r="Q39" i="5" s="1"/>
  <c r="N38" i="5"/>
  <c r="Q38" i="5" s="1"/>
  <c r="R38" i="5" s="1"/>
  <c r="N37" i="5"/>
  <c r="Q37" i="5" s="1"/>
  <c r="N36" i="5"/>
  <c r="Q36" i="5" s="1"/>
  <c r="N35" i="5"/>
  <c r="Q35" i="5" s="1"/>
  <c r="N34" i="5"/>
  <c r="Q34" i="5" s="1"/>
  <c r="R34" i="5" s="1"/>
  <c r="N33" i="5"/>
  <c r="Q33" i="5" s="1"/>
  <c r="N32" i="5"/>
  <c r="Q32" i="5" s="1"/>
  <c r="N31" i="5"/>
  <c r="Q31" i="5" s="1"/>
  <c r="N30" i="5"/>
  <c r="Q30" i="5" s="1"/>
  <c r="N29" i="5"/>
  <c r="Q29" i="5" s="1"/>
  <c r="N28" i="5"/>
  <c r="Q28" i="5" s="1"/>
  <c r="N27" i="5"/>
  <c r="Q27" i="5" s="1"/>
  <c r="N26" i="5"/>
  <c r="Q26" i="5" s="1"/>
  <c r="N25" i="5"/>
  <c r="Q25" i="5" s="1"/>
  <c r="N24" i="5"/>
  <c r="Q24" i="5" s="1"/>
  <c r="N23" i="5"/>
  <c r="Q23" i="5" s="1"/>
  <c r="N22" i="5"/>
  <c r="N21" i="5"/>
  <c r="Q21" i="5" s="1"/>
  <c r="R21" i="5" s="1"/>
  <c r="N20" i="5"/>
  <c r="Q20" i="5" s="1"/>
  <c r="N19" i="5"/>
  <c r="N18" i="5"/>
  <c r="N17" i="5"/>
  <c r="Q17" i="5" s="1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Q20" i="11"/>
  <c r="N46" i="11"/>
  <c r="Q46" i="11" s="1"/>
  <c r="N45" i="11"/>
  <c r="Q45" i="11" s="1"/>
  <c r="N44" i="11"/>
  <c r="Q44" i="11" s="1"/>
  <c r="N43" i="11"/>
  <c r="Q43" i="11" s="1"/>
  <c r="N42" i="11"/>
  <c r="Q42" i="11" s="1"/>
  <c r="N41" i="11"/>
  <c r="Q41" i="11" s="1"/>
  <c r="N40" i="11"/>
  <c r="Q40" i="11" s="1"/>
  <c r="N39" i="11"/>
  <c r="Q39" i="11" s="1"/>
  <c r="N38" i="11"/>
  <c r="Q38" i="11" s="1"/>
  <c r="N37" i="11"/>
  <c r="Q37" i="11" s="1"/>
  <c r="N36" i="11"/>
  <c r="Q36" i="11" s="1"/>
  <c r="N35" i="11"/>
  <c r="Q35" i="11" s="1"/>
  <c r="N34" i="11"/>
  <c r="Q34" i="11" s="1"/>
  <c r="N33" i="11"/>
  <c r="Q33" i="11" s="1"/>
  <c r="N32" i="11"/>
  <c r="Q32" i="11" s="1"/>
  <c r="N31" i="11"/>
  <c r="Q31" i="11" s="1"/>
  <c r="N30" i="11"/>
  <c r="Q30" i="11" s="1"/>
  <c r="N29" i="11"/>
  <c r="Q29" i="11" s="1"/>
  <c r="N28" i="11"/>
  <c r="Q28" i="11" s="1"/>
  <c r="N27" i="11"/>
  <c r="Q27" i="11" s="1"/>
  <c r="N26" i="11"/>
  <c r="Q26" i="11" s="1"/>
  <c r="N25" i="11"/>
  <c r="Q25" i="11" s="1"/>
  <c r="N24" i="11"/>
  <c r="Q24" i="11" s="1"/>
  <c r="N23" i="11"/>
  <c r="Q23" i="11" s="1"/>
  <c r="N22" i="11"/>
  <c r="Q22" i="11" s="1"/>
  <c r="N21" i="11"/>
  <c r="Q21" i="11" s="1"/>
  <c r="N20" i="11"/>
  <c r="N19" i="11"/>
  <c r="Q19" i="11" s="1"/>
  <c r="N18" i="11"/>
  <c r="Q18" i="11" s="1"/>
  <c r="N17" i="11"/>
  <c r="Q17" i="11" s="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T46" i="10"/>
  <c r="T26" i="10"/>
  <c r="Q46" i="10"/>
  <c r="Q45" i="10"/>
  <c r="T45" i="10" s="1"/>
  <c r="Q44" i="10"/>
  <c r="T44" i="10" s="1"/>
  <c r="Q43" i="10"/>
  <c r="T43" i="10" s="1"/>
  <c r="Q42" i="10"/>
  <c r="T42" i="10" s="1"/>
  <c r="Q41" i="10"/>
  <c r="T41" i="10" s="1"/>
  <c r="Q40" i="10"/>
  <c r="T40" i="10" s="1"/>
  <c r="Q39" i="10"/>
  <c r="T39" i="10" s="1"/>
  <c r="Q38" i="10"/>
  <c r="T38" i="10" s="1"/>
  <c r="Q37" i="10"/>
  <c r="T37" i="10" s="1"/>
  <c r="Q36" i="10"/>
  <c r="T36" i="10" s="1"/>
  <c r="Q35" i="10"/>
  <c r="T35" i="10" s="1"/>
  <c r="Q34" i="10"/>
  <c r="T34" i="10" s="1"/>
  <c r="Q33" i="10"/>
  <c r="T33" i="10" s="1"/>
  <c r="Q32" i="10"/>
  <c r="T32" i="10" s="1"/>
  <c r="Q31" i="10"/>
  <c r="T31" i="10" s="1"/>
  <c r="U31" i="10" s="1"/>
  <c r="Q30" i="10"/>
  <c r="T30" i="10" s="1"/>
  <c r="Q29" i="10"/>
  <c r="T29" i="10" s="1"/>
  <c r="Q28" i="10"/>
  <c r="T28" i="10" s="1"/>
  <c r="Q27" i="10"/>
  <c r="T27" i="10" s="1"/>
  <c r="Q26" i="10"/>
  <c r="Q25" i="10"/>
  <c r="T25" i="10" s="1"/>
  <c r="Q24" i="10"/>
  <c r="T24" i="10" s="1"/>
  <c r="Q23" i="10"/>
  <c r="T23" i="10" s="1"/>
  <c r="Q22" i="10"/>
  <c r="T22" i="10" s="1"/>
  <c r="Q21" i="10"/>
  <c r="T21" i="10" s="1"/>
  <c r="Q20" i="10"/>
  <c r="T20" i="10" s="1"/>
  <c r="U20" i="10" s="1"/>
  <c r="Q19" i="10"/>
  <c r="T19" i="10" s="1"/>
  <c r="Q18" i="10"/>
  <c r="T18" i="10" s="1"/>
  <c r="Q17" i="10"/>
  <c r="T17" i="10" s="1"/>
  <c r="M46" i="10"/>
  <c r="U46" i="10" s="1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Q42" i="12"/>
  <c r="R42" i="12" s="1"/>
  <c r="N46" i="12"/>
  <c r="Q46" i="12" s="1"/>
  <c r="R46" i="12" s="1"/>
  <c r="N45" i="12"/>
  <c r="Q45" i="12" s="1"/>
  <c r="R45" i="12" s="1"/>
  <c r="N44" i="12"/>
  <c r="Q44" i="12" s="1"/>
  <c r="R44" i="12" s="1"/>
  <c r="N43" i="12"/>
  <c r="Q43" i="12" s="1"/>
  <c r="R43" i="12" s="1"/>
  <c r="N42" i="12"/>
  <c r="N41" i="12"/>
  <c r="Q41" i="12" s="1"/>
  <c r="R41" i="12" s="1"/>
  <c r="N40" i="12"/>
  <c r="Q40" i="12" s="1"/>
  <c r="R40" i="12" s="1"/>
  <c r="N39" i="12"/>
  <c r="Q39" i="12" s="1"/>
  <c r="R39" i="12" s="1"/>
  <c r="N38" i="12"/>
  <c r="Q38" i="12" s="1"/>
  <c r="R38" i="12" s="1"/>
  <c r="N37" i="12"/>
  <c r="Q37" i="12" s="1"/>
  <c r="R37" i="12" s="1"/>
  <c r="N36" i="12"/>
  <c r="Q36" i="12" s="1"/>
  <c r="R36" i="12" s="1"/>
  <c r="N35" i="12"/>
  <c r="Q35" i="12" s="1"/>
  <c r="R35" i="12" s="1"/>
  <c r="N34" i="12"/>
  <c r="Q34" i="12" s="1"/>
  <c r="R34" i="12" s="1"/>
  <c r="N33" i="12"/>
  <c r="Q33" i="12" s="1"/>
  <c r="R33" i="12" s="1"/>
  <c r="N32" i="12"/>
  <c r="Q32" i="12" s="1"/>
  <c r="R32" i="12" s="1"/>
  <c r="N31" i="12"/>
  <c r="Q31" i="12" s="1"/>
  <c r="R31" i="12" s="1"/>
  <c r="N30" i="12"/>
  <c r="Q30" i="12" s="1"/>
  <c r="R30" i="12" s="1"/>
  <c r="N29" i="12"/>
  <c r="Q29" i="12" s="1"/>
  <c r="R29" i="12" s="1"/>
  <c r="N28" i="12"/>
  <c r="Q28" i="12" s="1"/>
  <c r="R28" i="12" s="1"/>
  <c r="N27" i="12"/>
  <c r="Q27" i="12" s="1"/>
  <c r="R27" i="12" s="1"/>
  <c r="N26" i="12"/>
  <c r="Q26" i="12" s="1"/>
  <c r="R26" i="12" s="1"/>
  <c r="N25" i="12"/>
  <c r="Q25" i="12" s="1"/>
  <c r="R25" i="12" s="1"/>
  <c r="N24" i="12"/>
  <c r="Q24" i="12" s="1"/>
  <c r="R24" i="12" s="1"/>
  <c r="N23" i="12"/>
  <c r="Q23" i="12" s="1"/>
  <c r="R23" i="12" s="1"/>
  <c r="N22" i="12"/>
  <c r="Q22" i="12" s="1"/>
  <c r="R22" i="12" s="1"/>
  <c r="N21" i="12"/>
  <c r="Q21" i="12" s="1"/>
  <c r="R21" i="12" s="1"/>
  <c r="N20" i="12"/>
  <c r="Q20" i="12" s="1"/>
  <c r="R20" i="12" s="1"/>
  <c r="N19" i="12"/>
  <c r="Q19" i="12" s="1"/>
  <c r="R19" i="12" s="1"/>
  <c r="N18" i="12"/>
  <c r="Q18" i="12" s="1"/>
  <c r="R18" i="12" s="1"/>
  <c r="N17" i="12"/>
  <c r="Q17" i="12" s="1"/>
  <c r="R17" i="12" s="1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Q46" i="13"/>
  <c r="Q38" i="13"/>
  <c r="Q31" i="13"/>
  <c r="Q22" i="13"/>
  <c r="Q19" i="13"/>
  <c r="Q18" i="13"/>
  <c r="N46" i="13"/>
  <c r="N45" i="13"/>
  <c r="Q45" i="13" s="1"/>
  <c r="N44" i="13"/>
  <c r="Q44" i="13" s="1"/>
  <c r="N43" i="13"/>
  <c r="Q43" i="13" s="1"/>
  <c r="N42" i="13"/>
  <c r="Q42" i="13" s="1"/>
  <c r="N41" i="13"/>
  <c r="Q41" i="13" s="1"/>
  <c r="N40" i="13"/>
  <c r="Q40" i="13" s="1"/>
  <c r="N39" i="13"/>
  <c r="Q39" i="13" s="1"/>
  <c r="N38" i="13"/>
  <c r="N37" i="13"/>
  <c r="Q37" i="13" s="1"/>
  <c r="N36" i="13"/>
  <c r="Q36" i="13" s="1"/>
  <c r="N35" i="13"/>
  <c r="Q35" i="13" s="1"/>
  <c r="N34" i="13"/>
  <c r="Q34" i="13" s="1"/>
  <c r="N33" i="13"/>
  <c r="Q33" i="13" s="1"/>
  <c r="N32" i="13"/>
  <c r="Q32" i="13" s="1"/>
  <c r="N31" i="13"/>
  <c r="N30" i="13"/>
  <c r="Q30" i="13" s="1"/>
  <c r="N29" i="13"/>
  <c r="Q29" i="13" s="1"/>
  <c r="N28" i="13"/>
  <c r="Q28" i="13" s="1"/>
  <c r="N27" i="13"/>
  <c r="Q27" i="13" s="1"/>
  <c r="N26" i="13"/>
  <c r="Q26" i="13" s="1"/>
  <c r="N25" i="13"/>
  <c r="Q25" i="13" s="1"/>
  <c r="N24" i="13"/>
  <c r="Q24" i="13" s="1"/>
  <c r="N23" i="13"/>
  <c r="Q23" i="13" s="1"/>
  <c r="N22" i="13"/>
  <c r="N21" i="13"/>
  <c r="Q21" i="13" s="1"/>
  <c r="N20" i="13"/>
  <c r="Q20" i="13" s="1"/>
  <c r="N19" i="13"/>
  <c r="N18" i="13"/>
  <c r="N17" i="13"/>
  <c r="Q17" i="13" s="1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P45" i="4"/>
  <c r="S45" i="4" s="1"/>
  <c r="P44" i="4"/>
  <c r="S44" i="4" s="1"/>
  <c r="P43" i="4"/>
  <c r="S43" i="4" s="1"/>
  <c r="T43" i="4" s="1"/>
  <c r="P42" i="4"/>
  <c r="S42" i="4" s="1"/>
  <c r="P41" i="4"/>
  <c r="S41" i="4" s="1"/>
  <c r="P40" i="4"/>
  <c r="S40" i="4" s="1"/>
  <c r="P39" i="4"/>
  <c r="S39" i="4" s="1"/>
  <c r="T39" i="4" s="1"/>
  <c r="P38" i="4"/>
  <c r="S38" i="4" s="1"/>
  <c r="P37" i="4"/>
  <c r="S37" i="4" s="1"/>
  <c r="P36" i="4"/>
  <c r="S36" i="4" s="1"/>
  <c r="P35" i="4"/>
  <c r="S35" i="4" s="1"/>
  <c r="T35" i="4" s="1"/>
  <c r="P34" i="4"/>
  <c r="S34" i="4" s="1"/>
  <c r="P33" i="4"/>
  <c r="S33" i="4" s="1"/>
  <c r="P32" i="4"/>
  <c r="S32" i="4" s="1"/>
  <c r="P31" i="4"/>
  <c r="S31" i="4" s="1"/>
  <c r="T31" i="4" s="1"/>
  <c r="P30" i="4"/>
  <c r="S30" i="4" s="1"/>
  <c r="P29" i="4"/>
  <c r="S29" i="4" s="1"/>
  <c r="P28" i="4"/>
  <c r="S28" i="4" s="1"/>
  <c r="P27" i="4"/>
  <c r="S27" i="4" s="1"/>
  <c r="T27" i="4" s="1"/>
  <c r="P26" i="4"/>
  <c r="S26" i="4" s="1"/>
  <c r="P25" i="4"/>
  <c r="S25" i="4" s="1"/>
  <c r="P24" i="4"/>
  <c r="S24" i="4" s="1"/>
  <c r="P23" i="4"/>
  <c r="S23" i="4" s="1"/>
  <c r="P22" i="4"/>
  <c r="S22" i="4" s="1"/>
  <c r="P21" i="4"/>
  <c r="S21" i="4" s="1"/>
  <c r="P20" i="4"/>
  <c r="S20" i="4" s="1"/>
  <c r="P19" i="4"/>
  <c r="S19" i="4" s="1"/>
  <c r="P18" i="4"/>
  <c r="S18" i="4" s="1"/>
  <c r="P17" i="4"/>
  <c r="S17" i="4" s="1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U46" i="54"/>
  <c r="X46" i="54" s="1"/>
  <c r="X45" i="54"/>
  <c r="Y45" i="54" s="1"/>
  <c r="U45" i="54"/>
  <c r="U44" i="54"/>
  <c r="X44" i="54" s="1"/>
  <c r="U43" i="54"/>
  <c r="X43" i="54" s="1"/>
  <c r="U42" i="54"/>
  <c r="X42" i="54" s="1"/>
  <c r="U41" i="54"/>
  <c r="X41" i="54" s="1"/>
  <c r="U40" i="54"/>
  <c r="X40" i="54" s="1"/>
  <c r="U39" i="54"/>
  <c r="X39" i="54" s="1"/>
  <c r="U38" i="54"/>
  <c r="X38" i="54" s="1"/>
  <c r="U37" i="54"/>
  <c r="X37" i="54" s="1"/>
  <c r="U36" i="54"/>
  <c r="X36" i="54" s="1"/>
  <c r="U35" i="54"/>
  <c r="X35" i="54" s="1"/>
  <c r="U34" i="54"/>
  <c r="X34" i="54" s="1"/>
  <c r="U33" i="54"/>
  <c r="X33" i="54" s="1"/>
  <c r="Y33" i="54" s="1"/>
  <c r="U32" i="54"/>
  <c r="X32" i="54" s="1"/>
  <c r="Y32" i="54" s="1"/>
  <c r="U31" i="54"/>
  <c r="X31" i="54" s="1"/>
  <c r="U30" i="54"/>
  <c r="X30" i="54" s="1"/>
  <c r="U29" i="54"/>
  <c r="X29" i="54" s="1"/>
  <c r="U28" i="54"/>
  <c r="X28" i="54" s="1"/>
  <c r="U27" i="54"/>
  <c r="X27" i="54" s="1"/>
  <c r="U26" i="54"/>
  <c r="X26" i="54" s="1"/>
  <c r="U25" i="54"/>
  <c r="X25" i="54" s="1"/>
  <c r="Y25" i="54" s="1"/>
  <c r="U24" i="54"/>
  <c r="X24" i="54" s="1"/>
  <c r="U23" i="54"/>
  <c r="X23" i="54" s="1"/>
  <c r="U22" i="54"/>
  <c r="X22" i="54" s="1"/>
  <c r="U21" i="54"/>
  <c r="X21" i="54" s="1"/>
  <c r="U20" i="54"/>
  <c r="X20" i="54" s="1"/>
  <c r="U19" i="54"/>
  <c r="X19" i="54" s="1"/>
  <c r="Y19" i="54" s="1"/>
  <c r="U18" i="54"/>
  <c r="X18" i="54" s="1"/>
  <c r="U17" i="54"/>
  <c r="X17" i="54" s="1"/>
  <c r="Y17" i="54" s="1"/>
  <c r="Q46" i="54"/>
  <c r="Q45" i="54"/>
  <c r="Q44" i="54"/>
  <c r="Q43" i="54"/>
  <c r="Q42" i="54"/>
  <c r="Q41" i="54"/>
  <c r="Q40" i="54"/>
  <c r="Q39" i="54"/>
  <c r="Q38" i="54"/>
  <c r="Q37" i="54"/>
  <c r="Q36" i="54"/>
  <c r="Q35" i="54"/>
  <c r="Q34" i="54"/>
  <c r="Q33" i="54"/>
  <c r="Q32" i="54"/>
  <c r="Q31" i="54"/>
  <c r="Q30" i="54"/>
  <c r="Q29" i="54"/>
  <c r="Q28" i="54"/>
  <c r="Q27" i="54"/>
  <c r="Q26" i="54"/>
  <c r="Q25" i="54"/>
  <c r="Q24" i="54"/>
  <c r="Q23" i="54"/>
  <c r="Q22" i="54"/>
  <c r="Q21" i="54"/>
  <c r="Q20" i="54"/>
  <c r="Q19" i="54"/>
  <c r="Q18" i="54"/>
  <c r="Q1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V46" i="44"/>
  <c r="V45" i="44"/>
  <c r="V44" i="44"/>
  <c r="V41" i="44"/>
  <c r="V40" i="44"/>
  <c r="V39" i="44"/>
  <c r="V38" i="44"/>
  <c r="V37" i="44"/>
  <c r="V34" i="44"/>
  <c r="V33" i="44"/>
  <c r="V32" i="44"/>
  <c r="V30" i="44"/>
  <c r="V27" i="44"/>
  <c r="V26" i="44"/>
  <c r="V25" i="44"/>
  <c r="V24" i="44"/>
  <c r="V23" i="44"/>
  <c r="V20" i="44"/>
  <c r="V19" i="44"/>
  <c r="V18" i="44"/>
  <c r="V17" i="44"/>
  <c r="V16" i="44"/>
  <c r="V36" i="44"/>
  <c r="V29" i="44"/>
  <c r="V22" i="44"/>
  <c r="V21" i="44"/>
  <c r="K51" i="68"/>
  <c r="K48" i="68"/>
  <c r="K51" i="57"/>
  <c r="K51" i="50"/>
  <c r="K51" i="49"/>
  <c r="N46" i="70"/>
  <c r="Q46" i="70" s="1"/>
  <c r="N45" i="70"/>
  <c r="Q45" i="70" s="1"/>
  <c r="N44" i="70"/>
  <c r="Q44" i="70" s="1"/>
  <c r="N43" i="70"/>
  <c r="Q43" i="70" s="1"/>
  <c r="R43" i="70" s="1"/>
  <c r="N42" i="70"/>
  <c r="Q42" i="70" s="1"/>
  <c r="N41" i="70"/>
  <c r="Q41" i="70" s="1"/>
  <c r="N40" i="70"/>
  <c r="Q40" i="70" s="1"/>
  <c r="R40" i="70" s="1"/>
  <c r="N39" i="70"/>
  <c r="Q39" i="70" s="1"/>
  <c r="N38" i="70"/>
  <c r="Q38" i="70" s="1"/>
  <c r="N37" i="70"/>
  <c r="Q37" i="70" s="1"/>
  <c r="N36" i="70"/>
  <c r="Q36" i="70" s="1"/>
  <c r="N35" i="70"/>
  <c r="Q35" i="70" s="1"/>
  <c r="R35" i="70" s="1"/>
  <c r="N34" i="70"/>
  <c r="Q34" i="70" s="1"/>
  <c r="R34" i="70" s="1"/>
  <c r="N33" i="70"/>
  <c r="Q33" i="70" s="1"/>
  <c r="N32" i="70"/>
  <c r="Q32" i="70" s="1"/>
  <c r="R32" i="70" s="1"/>
  <c r="N31" i="70"/>
  <c r="Q31" i="70" s="1"/>
  <c r="N30" i="70"/>
  <c r="Q30" i="70" s="1"/>
  <c r="N29" i="70"/>
  <c r="Q29" i="70" s="1"/>
  <c r="N28" i="70"/>
  <c r="Q28" i="70" s="1"/>
  <c r="N27" i="70"/>
  <c r="Q27" i="70" s="1"/>
  <c r="R27" i="70" s="1"/>
  <c r="N26" i="70"/>
  <c r="Q26" i="70" s="1"/>
  <c r="N25" i="70"/>
  <c r="Q25" i="70" s="1"/>
  <c r="N24" i="70"/>
  <c r="Q24" i="70" s="1"/>
  <c r="R24" i="70" s="1"/>
  <c r="N23" i="70"/>
  <c r="Q23" i="70" s="1"/>
  <c r="N22" i="70"/>
  <c r="Q22" i="70" s="1"/>
  <c r="N21" i="70"/>
  <c r="Q21" i="70" s="1"/>
  <c r="N20" i="70"/>
  <c r="Q20" i="70" s="1"/>
  <c r="N19" i="70"/>
  <c r="Q19" i="70" s="1"/>
  <c r="R19" i="70" s="1"/>
  <c r="N18" i="70"/>
  <c r="Q18" i="70" s="1"/>
  <c r="R18" i="70" s="1"/>
  <c r="N17" i="70"/>
  <c r="Q17" i="70" s="1"/>
  <c r="R18" i="34" l="1"/>
  <c r="R26" i="5"/>
  <c r="Y29" i="54"/>
  <c r="R45" i="5"/>
  <c r="U45" i="10"/>
  <c r="U44" i="10"/>
  <c r="R44" i="43"/>
  <c r="R42" i="5"/>
  <c r="U39" i="10"/>
  <c r="Y41" i="54"/>
  <c r="R38" i="71"/>
  <c r="R38" i="39"/>
  <c r="U37" i="10"/>
  <c r="R37" i="5"/>
  <c r="U36" i="10"/>
  <c r="Y36" i="54"/>
  <c r="R36" i="63"/>
  <c r="R36" i="32"/>
  <c r="Y35" i="54"/>
  <c r="R32" i="26"/>
  <c r="R34" i="39"/>
  <c r="R32" i="6"/>
  <c r="R30" i="30"/>
  <c r="R18" i="30"/>
  <c r="R30" i="39"/>
  <c r="R30" i="5"/>
  <c r="R29" i="5"/>
  <c r="U29" i="10"/>
  <c r="U28" i="10"/>
  <c r="R27" i="71"/>
  <c r="R24" i="26"/>
  <c r="U26" i="10"/>
  <c r="U23" i="10"/>
  <c r="T23" i="4"/>
  <c r="R22" i="5"/>
  <c r="U22" i="10"/>
  <c r="U21" i="10"/>
  <c r="T22" i="4"/>
  <c r="T30" i="4"/>
  <c r="T38" i="4"/>
  <c r="T26" i="4"/>
  <c r="T34" i="4"/>
  <c r="T42" i="4"/>
  <c r="T19" i="4"/>
  <c r="U18" i="10"/>
  <c r="T20" i="4"/>
  <c r="Y20" i="54"/>
  <c r="R36" i="20"/>
  <c r="R20" i="20"/>
  <c r="R28" i="20"/>
  <c r="R44" i="20"/>
  <c r="R18" i="32"/>
  <c r="R22" i="32"/>
  <c r="R26" i="32"/>
  <c r="R30" i="32"/>
  <c r="R34" i="32"/>
  <c r="R38" i="32"/>
  <c r="R42" i="32"/>
  <c r="R46" i="32"/>
  <c r="R25" i="49"/>
  <c r="R41" i="49"/>
  <c r="R23" i="19"/>
  <c r="R31" i="19"/>
  <c r="R39" i="19"/>
  <c r="R31" i="7"/>
  <c r="R34" i="16"/>
  <c r="R42" i="16"/>
  <c r="R26" i="16"/>
  <c r="R27" i="40"/>
  <c r="R35" i="40"/>
  <c r="R20" i="39"/>
  <c r="R28" i="39"/>
  <c r="R36" i="39"/>
  <c r="R44" i="39"/>
  <c r="R41" i="38"/>
  <c r="R25" i="37"/>
  <c r="R41" i="37"/>
  <c r="R29" i="29"/>
  <c r="R37" i="29"/>
  <c r="R21" i="43"/>
  <c r="R37" i="43"/>
  <c r="R19" i="35"/>
  <c r="R23" i="35"/>
  <c r="R27" i="35"/>
  <c r="R35" i="35"/>
  <c r="R43" i="35"/>
  <c r="R31" i="27"/>
  <c r="R39" i="27"/>
  <c r="R26" i="26"/>
  <c r="R42" i="26"/>
  <c r="R21" i="34"/>
  <c r="R29" i="34"/>
  <c r="R37" i="34"/>
  <c r="R45" i="34"/>
  <c r="R40" i="31"/>
  <c r="R41" i="30"/>
  <c r="R21" i="58"/>
  <c r="R29" i="58"/>
  <c r="R37" i="58"/>
  <c r="R45" i="58"/>
  <c r="R21" i="60"/>
  <c r="R29" i="60"/>
  <c r="R37" i="60"/>
  <c r="R45" i="60"/>
  <c r="R25" i="62"/>
  <c r="R22" i="6"/>
  <c r="R30" i="6"/>
  <c r="R38" i="6"/>
  <c r="R46" i="6"/>
  <c r="R21" i="20"/>
  <c r="R29" i="20"/>
  <c r="R37" i="20"/>
  <c r="R45" i="20"/>
  <c r="R27" i="32"/>
  <c r="R35" i="32"/>
  <c r="R43" i="32"/>
  <c r="R22" i="49"/>
  <c r="R38" i="49"/>
  <c r="R41" i="18"/>
  <c r="R33" i="18"/>
  <c r="R20" i="19"/>
  <c r="R36" i="19"/>
  <c r="R44" i="19"/>
  <c r="R28" i="19"/>
  <c r="R28" i="7"/>
  <c r="R20" i="7"/>
  <c r="R18" i="16"/>
  <c r="R19" i="40"/>
  <c r="R21" i="39"/>
  <c r="R29" i="39"/>
  <c r="R37" i="39"/>
  <c r="R21" i="23"/>
  <c r="R45" i="23"/>
  <c r="R37" i="23"/>
  <c r="R30" i="38"/>
  <c r="R25" i="38"/>
  <c r="R22" i="37"/>
  <c r="R38" i="37"/>
  <c r="R34" i="29"/>
  <c r="R18" i="43"/>
  <c r="R26" i="43"/>
  <c r="R34" i="43"/>
  <c r="R42" i="43"/>
  <c r="R45" i="43"/>
  <c r="R36" i="27"/>
  <c r="R20" i="27"/>
  <c r="R28" i="27"/>
  <c r="R23" i="26"/>
  <c r="R39" i="26"/>
  <c r="R26" i="34"/>
  <c r="R38" i="34"/>
  <c r="R19" i="6"/>
  <c r="R23" i="6"/>
  <c r="R27" i="6"/>
  <c r="R27" i="59"/>
  <c r="R35" i="59"/>
  <c r="R43" i="59"/>
  <c r="R19" i="59"/>
  <c r="R43" i="65"/>
  <c r="R27" i="65"/>
  <c r="R41" i="68"/>
  <c r="R32" i="71"/>
  <c r="R28" i="6"/>
  <c r="R44" i="6"/>
  <c r="R20" i="6"/>
  <c r="R36" i="6"/>
  <c r="R31" i="20"/>
  <c r="R39" i="20"/>
  <c r="R20" i="52"/>
  <c r="R24" i="52"/>
  <c r="R36" i="52"/>
  <c r="R40" i="52"/>
  <c r="R44" i="52"/>
  <c r="R18" i="52"/>
  <c r="R26" i="52"/>
  <c r="R34" i="52"/>
  <c r="R42" i="52"/>
  <c r="R18" i="49"/>
  <c r="R34" i="49"/>
  <c r="R20" i="49"/>
  <c r="R28" i="49"/>
  <c r="R36" i="49"/>
  <c r="R44" i="49"/>
  <c r="R22" i="34"/>
  <c r="R42" i="34"/>
  <c r="R31" i="31"/>
  <c r="R35" i="31"/>
  <c r="R39" i="31"/>
  <c r="R43" i="31"/>
  <c r="R19" i="31"/>
  <c r="R27" i="31"/>
  <c r="R20" i="30"/>
  <c r="R28" i="30"/>
  <c r="R36" i="30"/>
  <c r="R44" i="30"/>
  <c r="R20" i="58"/>
  <c r="R36" i="58"/>
  <c r="R44" i="58"/>
  <c r="R24" i="59"/>
  <c r="R40" i="59"/>
  <c r="R30" i="67"/>
  <c r="R46" i="67"/>
  <c r="R28" i="63"/>
  <c r="R20" i="63"/>
  <c r="R44" i="63"/>
  <c r="R24" i="65"/>
  <c r="R40" i="65"/>
  <c r="R22" i="68"/>
  <c r="R30" i="68"/>
  <c r="R46" i="68"/>
  <c r="R41" i="71"/>
  <c r="R46" i="49"/>
  <c r="R40" i="7"/>
  <c r="R18" i="7"/>
  <c r="R34" i="7"/>
  <c r="R21" i="16"/>
  <c r="R37" i="16"/>
  <c r="R45" i="16"/>
  <c r="R38" i="40"/>
  <c r="R46" i="40"/>
  <c r="R20" i="15"/>
  <c r="R28" i="15"/>
  <c r="R36" i="15"/>
  <c r="R44" i="15"/>
  <c r="R23" i="39"/>
  <c r="R27" i="23"/>
  <c r="R35" i="23"/>
  <c r="R43" i="23"/>
  <c r="R24" i="38"/>
  <c r="R40" i="38"/>
  <c r="R46" i="38"/>
  <c r="R28" i="37"/>
  <c r="R36" i="37"/>
  <c r="R20" i="37"/>
  <c r="R20" i="29"/>
  <c r="R28" i="29"/>
  <c r="R36" i="29"/>
  <c r="R44" i="29"/>
  <c r="R21" i="29"/>
  <c r="R45" i="29"/>
  <c r="R29" i="43"/>
  <c r="R40" i="35"/>
  <c r="R22" i="35"/>
  <c r="R30" i="35"/>
  <c r="R21" i="26"/>
  <c r="R37" i="26"/>
  <c r="R45" i="26"/>
  <c r="R32" i="34"/>
  <c r="R40" i="34"/>
  <c r="R30" i="34"/>
  <c r="R36" i="31"/>
  <c r="R22" i="31"/>
  <c r="R30" i="31"/>
  <c r="R24" i="31"/>
  <c r="R23" i="30"/>
  <c r="R31" i="30"/>
  <c r="R39" i="30"/>
  <c r="R25" i="30"/>
  <c r="R28" i="58"/>
  <c r="R35" i="60"/>
  <c r="R35" i="62"/>
  <c r="R19" i="62"/>
  <c r="R27" i="62"/>
  <c r="R20" i="59"/>
  <c r="R28" i="59"/>
  <c r="R32" i="59"/>
  <c r="R36" i="59"/>
  <c r="R44" i="59"/>
  <c r="R22" i="59"/>
  <c r="R30" i="59"/>
  <c r="R38" i="59"/>
  <c r="R46" i="59"/>
  <c r="R18" i="67"/>
  <c r="R38" i="67"/>
  <c r="R20" i="67"/>
  <c r="R36" i="67"/>
  <c r="R44" i="67"/>
  <c r="R28" i="67"/>
  <c r="R41" i="67"/>
  <c r="R24" i="63"/>
  <c r="R32" i="63"/>
  <c r="R18" i="63"/>
  <c r="R26" i="65"/>
  <c r="R34" i="65"/>
  <c r="R32" i="68"/>
  <c r="R19" i="71"/>
  <c r="R35" i="71"/>
  <c r="R43" i="71"/>
  <c r="R31" i="6"/>
  <c r="R35" i="6"/>
  <c r="R39" i="6"/>
  <c r="R43" i="6"/>
  <c r="R24" i="20"/>
  <c r="R40" i="20"/>
  <c r="R21" i="52"/>
  <c r="R29" i="52"/>
  <c r="R37" i="52"/>
  <c r="R45" i="52"/>
  <c r="R24" i="32"/>
  <c r="R19" i="32"/>
  <c r="R19" i="49"/>
  <c r="R23" i="49"/>
  <c r="R27" i="49"/>
  <c r="R31" i="49"/>
  <c r="R35" i="49"/>
  <c r="R39" i="49"/>
  <c r="R43" i="49"/>
  <c r="R30" i="49"/>
  <c r="R36" i="18"/>
  <c r="R29" i="19"/>
  <c r="R21" i="19"/>
  <c r="R37" i="19"/>
  <c r="R45" i="19"/>
  <c r="R21" i="7"/>
  <c r="R37" i="7"/>
  <c r="R45" i="7"/>
  <c r="R36" i="7"/>
  <c r="R29" i="16"/>
  <c r="R22" i="40"/>
  <c r="R43" i="40"/>
  <c r="R23" i="15"/>
  <c r="R31" i="15"/>
  <c r="R39" i="15"/>
  <c r="R26" i="39"/>
  <c r="R39" i="39"/>
  <c r="R18" i="23"/>
  <c r="R42" i="23"/>
  <c r="R24" i="23"/>
  <c r="R40" i="23"/>
  <c r="R27" i="38"/>
  <c r="R43" i="38"/>
  <c r="R23" i="37"/>
  <c r="R31" i="37"/>
  <c r="R18" i="29"/>
  <c r="R23" i="27"/>
  <c r="R44" i="27"/>
  <c r="R20" i="26"/>
  <c r="R44" i="26"/>
  <c r="R19" i="34"/>
  <c r="R43" i="34"/>
  <c r="R35" i="34"/>
  <c r="R25" i="31"/>
  <c r="R41" i="31"/>
  <c r="R23" i="31"/>
  <c r="R22" i="30"/>
  <c r="R34" i="60"/>
  <c r="R26" i="60"/>
  <c r="R38" i="60"/>
  <c r="R40" i="62"/>
  <c r="R33" i="59"/>
  <c r="R23" i="67"/>
  <c r="R31" i="67"/>
  <c r="R39" i="67"/>
  <c r="R25" i="67"/>
  <c r="R37" i="63"/>
  <c r="R45" i="63"/>
  <c r="R21" i="63"/>
  <c r="R21" i="65"/>
  <c r="R29" i="65"/>
  <c r="R37" i="65"/>
  <c r="R45" i="65"/>
  <c r="R42" i="65"/>
  <c r="R19" i="68"/>
  <c r="R35" i="68"/>
  <c r="R43" i="68"/>
  <c r="R25" i="68"/>
  <c r="R38" i="68"/>
  <c r="R24" i="71"/>
  <c r="R28" i="71"/>
  <c r="R22" i="71"/>
  <c r="R30" i="71"/>
  <c r="R46" i="71"/>
  <c r="R20" i="32"/>
  <c r="R36" i="23"/>
  <c r="R20" i="43"/>
  <c r="R24" i="43"/>
  <c r="R32" i="43"/>
  <c r="R40" i="43"/>
  <c r="R26" i="30"/>
  <c r="R34" i="30"/>
  <c r="R42" i="30"/>
  <c r="R46" i="30"/>
  <c r="R28" i="68"/>
  <c r="R40" i="68"/>
  <c r="R46" i="19"/>
  <c r="R26" i="7"/>
  <c r="R38" i="7"/>
  <c r="R22" i="15"/>
  <c r="R26" i="15"/>
  <c r="R30" i="15"/>
  <c r="R34" i="15"/>
  <c r="R38" i="15"/>
  <c r="R42" i="15"/>
  <c r="R18" i="38"/>
  <c r="R26" i="38"/>
  <c r="R34" i="38"/>
  <c r="R42" i="38"/>
  <c r="R22" i="29"/>
  <c r="R26" i="29"/>
  <c r="R30" i="29"/>
  <c r="R38" i="29"/>
  <c r="R42" i="29"/>
  <c r="R46" i="29"/>
  <c r="R32" i="27"/>
  <c r="R44" i="31"/>
  <c r="R30" i="58"/>
  <c r="R34" i="58"/>
  <c r="R44" i="62"/>
  <c r="R40" i="6"/>
  <c r="R32" i="20"/>
  <c r="R32" i="52"/>
  <c r="R26" i="49"/>
  <c r="R42" i="49"/>
  <c r="R34" i="18"/>
  <c r="R42" i="18"/>
  <c r="R46" i="18"/>
  <c r="R26" i="19"/>
  <c r="R34" i="19"/>
  <c r="R42" i="19"/>
  <c r="R22" i="7"/>
  <c r="R18" i="15"/>
  <c r="R18" i="6"/>
  <c r="R26" i="6"/>
  <c r="R34" i="6"/>
  <c r="R42" i="6"/>
  <c r="R18" i="20"/>
  <c r="R22" i="20"/>
  <c r="R26" i="20"/>
  <c r="R30" i="20"/>
  <c r="R34" i="20"/>
  <c r="R38" i="20"/>
  <c r="R42" i="20"/>
  <c r="R46" i="20"/>
  <c r="R22" i="52"/>
  <c r="R30" i="52"/>
  <c r="R38" i="52"/>
  <c r="R46" i="52"/>
  <c r="R22" i="16"/>
  <c r="R30" i="16"/>
  <c r="R38" i="16"/>
  <c r="R46" i="16"/>
  <c r="R18" i="40"/>
  <c r="R34" i="40"/>
  <c r="R42" i="40"/>
  <c r="R20" i="23"/>
  <c r="R28" i="23"/>
  <c r="R32" i="23"/>
  <c r="R44" i="23"/>
  <c r="R24" i="37"/>
  <c r="R32" i="37"/>
  <c r="R40" i="37"/>
  <c r="R24" i="6"/>
  <c r="R28" i="52"/>
  <c r="R44" i="32"/>
  <c r="R30" i="18"/>
  <c r="R38" i="18"/>
  <c r="R22" i="19"/>
  <c r="R30" i="19"/>
  <c r="R38" i="19"/>
  <c r="R30" i="7"/>
  <c r="R46" i="15"/>
  <c r="R24" i="49"/>
  <c r="R32" i="49"/>
  <c r="R40" i="49"/>
  <c r="R24" i="19"/>
  <c r="R32" i="19"/>
  <c r="R40" i="19"/>
  <c r="R24" i="7"/>
  <c r="R32" i="7"/>
  <c r="R28" i="43"/>
  <c r="R36" i="43"/>
  <c r="R20" i="70"/>
  <c r="R28" i="70"/>
  <c r="R36" i="70"/>
  <c r="R44" i="70"/>
  <c r="R42" i="7"/>
  <c r="R46" i="7"/>
  <c r="R20" i="16"/>
  <c r="R24" i="16"/>
  <c r="R28" i="16"/>
  <c r="R32" i="16"/>
  <c r="R36" i="16"/>
  <c r="R40" i="16"/>
  <c r="R44" i="16"/>
  <c r="R20" i="40"/>
  <c r="R24" i="40"/>
  <c r="R28" i="40"/>
  <c r="R32" i="40"/>
  <c r="R36" i="40"/>
  <c r="R40" i="40"/>
  <c r="R44" i="40"/>
  <c r="R24" i="15"/>
  <c r="R32" i="15"/>
  <c r="R40" i="15"/>
  <c r="R24" i="39"/>
  <c r="R32" i="39"/>
  <c r="R40" i="39"/>
  <c r="R22" i="23"/>
  <c r="R30" i="23"/>
  <c r="R38" i="23"/>
  <c r="R46" i="23"/>
  <c r="R20" i="38"/>
  <c r="R28" i="38"/>
  <c r="R32" i="38"/>
  <c r="R36" i="38"/>
  <c r="R44" i="38"/>
  <c r="R18" i="37"/>
  <c r="R26" i="37"/>
  <c r="R30" i="37"/>
  <c r="R34" i="37"/>
  <c r="R42" i="37"/>
  <c r="R46" i="37"/>
  <c r="R24" i="29"/>
  <c r="R32" i="29"/>
  <c r="R40" i="29"/>
  <c r="R22" i="43"/>
  <c r="R30" i="43"/>
  <c r="R38" i="43"/>
  <c r="R46" i="43"/>
  <c r="R24" i="27"/>
  <c r="R40" i="27"/>
  <c r="R20" i="35"/>
  <c r="R24" i="35"/>
  <c r="R28" i="35"/>
  <c r="R32" i="35"/>
  <c r="R36" i="35"/>
  <c r="R44" i="35"/>
  <c r="R20" i="31"/>
  <c r="R28" i="31"/>
  <c r="R32" i="31"/>
  <c r="R22" i="58"/>
  <c r="R26" i="58"/>
  <c r="R38" i="58"/>
  <c r="R42" i="58"/>
  <c r="R40" i="63"/>
  <c r="R18" i="35"/>
  <c r="R26" i="35"/>
  <c r="R34" i="35"/>
  <c r="R42" i="35"/>
  <c r="R18" i="27"/>
  <c r="R22" i="27"/>
  <c r="R26" i="27"/>
  <c r="R30" i="27"/>
  <c r="R34" i="27"/>
  <c r="R38" i="27"/>
  <c r="R42" i="27"/>
  <c r="R46" i="27"/>
  <c r="R18" i="26"/>
  <c r="R22" i="26"/>
  <c r="R30" i="26"/>
  <c r="R34" i="26"/>
  <c r="R38" i="26"/>
  <c r="R46" i="26"/>
  <c r="R20" i="34"/>
  <c r="R24" i="34"/>
  <c r="R28" i="34"/>
  <c r="R36" i="34"/>
  <c r="R44" i="34"/>
  <c r="R18" i="31"/>
  <c r="R26" i="31"/>
  <c r="R34" i="31"/>
  <c r="R42" i="31"/>
  <c r="R24" i="30"/>
  <c r="R32" i="30"/>
  <c r="R40" i="30"/>
  <c r="R24" i="58"/>
  <c r="R32" i="58"/>
  <c r="R40" i="58"/>
  <c r="R20" i="62"/>
  <c r="R24" i="62"/>
  <c r="R28" i="62"/>
  <c r="R36" i="62"/>
  <c r="R20" i="71"/>
  <c r="R36" i="71"/>
  <c r="R40" i="71"/>
  <c r="R44" i="71"/>
  <c r="R20" i="60"/>
  <c r="R28" i="60"/>
  <c r="R36" i="60"/>
  <c r="R40" i="60"/>
  <c r="R44" i="60"/>
  <c r="R18" i="62"/>
  <c r="R26" i="62"/>
  <c r="R34" i="62"/>
  <c r="R38" i="62"/>
  <c r="R46" i="62"/>
  <c r="R18" i="59"/>
  <c r="R26" i="59"/>
  <c r="R34" i="59"/>
  <c r="R42" i="59"/>
  <c r="R22" i="67"/>
  <c r="R26" i="67"/>
  <c r="R34" i="67"/>
  <c r="R42" i="67"/>
  <c r="R22" i="65"/>
  <c r="R30" i="65"/>
  <c r="R38" i="65"/>
  <c r="R46" i="65"/>
  <c r="R20" i="68"/>
  <c r="R24" i="68"/>
  <c r="R36" i="68"/>
  <c r="R44" i="68"/>
  <c r="R20" i="65"/>
  <c r="R28" i="65"/>
  <c r="R32" i="65"/>
  <c r="R36" i="65"/>
  <c r="R44" i="65"/>
  <c r="R18" i="68"/>
  <c r="R26" i="68"/>
  <c r="R34" i="68"/>
  <c r="R42" i="68"/>
  <c r="R18" i="71"/>
  <c r="R26" i="71"/>
  <c r="R34" i="71"/>
  <c r="R42" i="71"/>
  <c r="R24" i="67"/>
  <c r="R32" i="67"/>
  <c r="R40" i="67"/>
  <c r="R22" i="63"/>
  <c r="R26" i="63"/>
  <c r="R30" i="63"/>
  <c r="R34" i="63"/>
  <c r="R38" i="63"/>
  <c r="R42" i="63"/>
  <c r="R46" i="63"/>
  <c r="R22" i="70"/>
  <c r="R26" i="70"/>
  <c r="R30" i="70"/>
  <c r="R38" i="70"/>
  <c r="R42" i="70"/>
  <c r="R46" i="70"/>
  <c r="R17" i="6"/>
  <c r="R33" i="6"/>
  <c r="R19" i="46"/>
  <c r="R23" i="46"/>
  <c r="R27" i="46"/>
  <c r="R31" i="46"/>
  <c r="R35" i="46"/>
  <c r="R39" i="46"/>
  <c r="R43" i="46"/>
  <c r="R25" i="6"/>
  <c r="R41" i="6"/>
  <c r="R17" i="49"/>
  <c r="R33" i="49"/>
  <c r="R19" i="17"/>
  <c r="R23" i="17"/>
  <c r="R27" i="17"/>
  <c r="R31" i="17"/>
  <c r="R35" i="17"/>
  <c r="R43" i="17"/>
  <c r="R20" i="14"/>
  <c r="R28" i="14"/>
  <c r="R40" i="14"/>
  <c r="R33" i="15"/>
  <c r="R19" i="36"/>
  <c r="R27" i="36"/>
  <c r="R35" i="36"/>
  <c r="R39" i="36"/>
  <c r="R31" i="29"/>
  <c r="R23" i="41"/>
  <c r="R31" i="41"/>
  <c r="R39" i="41"/>
  <c r="R23" i="28"/>
  <c r="R31" i="28"/>
  <c r="R39" i="28"/>
  <c r="R19" i="42"/>
  <c r="R27" i="42"/>
  <c r="R35" i="42"/>
  <c r="R39" i="42"/>
  <c r="R19" i="55"/>
  <c r="R27" i="55"/>
  <c r="R39" i="55"/>
  <c r="R19" i="50"/>
  <c r="R23" i="50"/>
  <c r="R31" i="50"/>
  <c r="R39" i="50"/>
  <c r="R19" i="57"/>
  <c r="R27" i="57"/>
  <c r="R35" i="57"/>
  <c r="R43" i="57"/>
  <c r="R19" i="52"/>
  <c r="R27" i="52"/>
  <c r="R35" i="52"/>
  <c r="R43" i="52"/>
  <c r="R17" i="32"/>
  <c r="R25" i="32"/>
  <c r="R33" i="32"/>
  <c r="R31" i="18"/>
  <c r="R39" i="18"/>
  <c r="R24" i="46"/>
  <c r="R24" i="17"/>
  <c r="R32" i="17"/>
  <c r="R36" i="17"/>
  <c r="R44" i="17"/>
  <c r="R35" i="16"/>
  <c r="R17" i="14"/>
  <c r="R25" i="14"/>
  <c r="R33" i="14"/>
  <c r="R41" i="14"/>
  <c r="R19" i="43"/>
  <c r="R35" i="43"/>
  <c r="R17" i="35"/>
  <c r="R33" i="35"/>
  <c r="R21" i="6"/>
  <c r="R29" i="6"/>
  <c r="R37" i="6"/>
  <c r="R45" i="6"/>
  <c r="R19" i="20"/>
  <c r="R27" i="20"/>
  <c r="R35" i="20"/>
  <c r="R43" i="20"/>
  <c r="R17" i="52"/>
  <c r="R25" i="52"/>
  <c r="R33" i="52"/>
  <c r="R41" i="52"/>
  <c r="R23" i="32"/>
  <c r="R31" i="32"/>
  <c r="R39" i="32"/>
  <c r="R21" i="49"/>
  <c r="R29" i="49"/>
  <c r="R37" i="49"/>
  <c r="R45" i="49"/>
  <c r="R29" i="18"/>
  <c r="R37" i="18"/>
  <c r="R45" i="18"/>
  <c r="R19" i="19"/>
  <c r="R27" i="19"/>
  <c r="R35" i="19"/>
  <c r="R43" i="19"/>
  <c r="R17" i="46"/>
  <c r="R21" i="46"/>
  <c r="R25" i="46"/>
  <c r="R29" i="46"/>
  <c r="R23" i="7"/>
  <c r="R39" i="7"/>
  <c r="R25" i="15"/>
  <c r="R41" i="15"/>
  <c r="R31" i="39"/>
  <c r="R17" i="37"/>
  <c r="R33" i="37"/>
  <c r="R23" i="29"/>
  <c r="R39" i="29"/>
  <c r="R25" i="27"/>
  <c r="R41" i="27"/>
  <c r="R31" i="26"/>
  <c r="R19" i="33"/>
  <c r="R23" i="33"/>
  <c r="R27" i="33"/>
  <c r="R31" i="33"/>
  <c r="R35" i="33"/>
  <c r="R39" i="33"/>
  <c r="R43" i="33"/>
  <c r="R27" i="34"/>
  <c r="R17" i="30"/>
  <c r="R33" i="30"/>
  <c r="R27" i="60"/>
  <c r="R39" i="17"/>
  <c r="R24" i="14"/>
  <c r="R32" i="14"/>
  <c r="R36" i="14"/>
  <c r="R44" i="14"/>
  <c r="R17" i="15"/>
  <c r="R23" i="36"/>
  <c r="R31" i="36"/>
  <c r="R43" i="36"/>
  <c r="R17" i="27"/>
  <c r="R33" i="27"/>
  <c r="R19" i="41"/>
  <c r="R27" i="41"/>
  <c r="R35" i="41"/>
  <c r="R43" i="41"/>
  <c r="R19" i="28"/>
  <c r="R27" i="28"/>
  <c r="R35" i="28"/>
  <c r="R43" i="28"/>
  <c r="R23" i="42"/>
  <c r="R31" i="42"/>
  <c r="R43" i="42"/>
  <c r="R23" i="55"/>
  <c r="R31" i="55"/>
  <c r="R35" i="55"/>
  <c r="R43" i="55"/>
  <c r="R27" i="50"/>
  <c r="R35" i="50"/>
  <c r="R43" i="50"/>
  <c r="R23" i="57"/>
  <c r="R31" i="57"/>
  <c r="R39" i="57"/>
  <c r="R41" i="32"/>
  <c r="R20" i="46"/>
  <c r="R28" i="46"/>
  <c r="R20" i="17"/>
  <c r="R28" i="17"/>
  <c r="R40" i="17"/>
  <c r="R19" i="16"/>
  <c r="R21" i="14"/>
  <c r="R29" i="14"/>
  <c r="R37" i="14"/>
  <c r="R45" i="14"/>
  <c r="R17" i="40"/>
  <c r="R33" i="40"/>
  <c r="R17" i="20"/>
  <c r="R25" i="20"/>
  <c r="R33" i="20"/>
  <c r="R41" i="20"/>
  <c r="R23" i="52"/>
  <c r="R31" i="52"/>
  <c r="R39" i="52"/>
  <c r="R21" i="32"/>
  <c r="R29" i="32"/>
  <c r="R37" i="32"/>
  <c r="R45" i="32"/>
  <c r="R35" i="18"/>
  <c r="R43" i="18"/>
  <c r="R17" i="19"/>
  <c r="R25" i="19"/>
  <c r="R33" i="19"/>
  <c r="R41" i="19"/>
  <c r="R18" i="46"/>
  <c r="R22" i="46"/>
  <c r="R26" i="46"/>
  <c r="R30" i="46"/>
  <c r="R34" i="46"/>
  <c r="R38" i="46"/>
  <c r="R42" i="46"/>
  <c r="R46" i="46"/>
  <c r="R27" i="16"/>
  <c r="R43" i="16"/>
  <c r="R25" i="40"/>
  <c r="R41" i="40"/>
  <c r="R17" i="38"/>
  <c r="R33" i="38"/>
  <c r="R18" i="36"/>
  <c r="R22" i="36"/>
  <c r="R26" i="36"/>
  <c r="R30" i="36"/>
  <c r="R34" i="36"/>
  <c r="R38" i="36"/>
  <c r="R42" i="36"/>
  <c r="R46" i="36"/>
  <c r="R27" i="43"/>
  <c r="R43" i="43"/>
  <c r="R25" i="35"/>
  <c r="R41" i="35"/>
  <c r="R20" i="33"/>
  <c r="R24" i="33"/>
  <c r="R28" i="33"/>
  <c r="R32" i="33"/>
  <c r="R36" i="33"/>
  <c r="R40" i="33"/>
  <c r="R44" i="33"/>
  <c r="R17" i="31"/>
  <c r="R33" i="31"/>
  <c r="R18" i="41"/>
  <c r="R22" i="41"/>
  <c r="R26" i="41"/>
  <c r="R30" i="41"/>
  <c r="R34" i="41"/>
  <c r="R38" i="41"/>
  <c r="R42" i="41"/>
  <c r="R46" i="41"/>
  <c r="R18" i="28"/>
  <c r="R22" i="28"/>
  <c r="R26" i="28"/>
  <c r="R30" i="28"/>
  <c r="R34" i="28"/>
  <c r="R38" i="28"/>
  <c r="R42" i="28"/>
  <c r="R46" i="28"/>
  <c r="R18" i="42"/>
  <c r="R22" i="42"/>
  <c r="R26" i="42"/>
  <c r="R30" i="42"/>
  <c r="R34" i="42"/>
  <c r="R38" i="42"/>
  <c r="R42" i="42"/>
  <c r="R46" i="42"/>
  <c r="R18" i="55"/>
  <c r="R22" i="55"/>
  <c r="R26" i="55"/>
  <c r="R30" i="55"/>
  <c r="R34" i="55"/>
  <c r="R38" i="55"/>
  <c r="R42" i="55"/>
  <c r="R46" i="55"/>
  <c r="R18" i="50"/>
  <c r="R22" i="50"/>
  <c r="R26" i="50"/>
  <c r="R30" i="50"/>
  <c r="R34" i="50"/>
  <c r="R38" i="50"/>
  <c r="R42" i="50"/>
  <c r="R46" i="50"/>
  <c r="R18" i="57"/>
  <c r="R22" i="57"/>
  <c r="R26" i="57"/>
  <c r="R30" i="57"/>
  <c r="R34" i="57"/>
  <c r="R38" i="57"/>
  <c r="R42" i="57"/>
  <c r="R46" i="57"/>
  <c r="R31" i="58"/>
  <c r="R31" i="63"/>
  <c r="R32" i="46"/>
  <c r="R36" i="46"/>
  <c r="R40" i="46"/>
  <c r="R44" i="46"/>
  <c r="R19" i="7"/>
  <c r="R27" i="7"/>
  <c r="R35" i="7"/>
  <c r="R43" i="7"/>
  <c r="R17" i="17"/>
  <c r="R21" i="17"/>
  <c r="R25" i="17"/>
  <c r="R29" i="17"/>
  <c r="R33" i="17"/>
  <c r="R37" i="17"/>
  <c r="R41" i="17"/>
  <c r="R45" i="17"/>
  <c r="R17" i="16"/>
  <c r="R25" i="16"/>
  <c r="R33" i="16"/>
  <c r="R41" i="16"/>
  <c r="R18" i="14"/>
  <c r="R22" i="14"/>
  <c r="R26" i="14"/>
  <c r="R30" i="14"/>
  <c r="R34" i="14"/>
  <c r="R38" i="14"/>
  <c r="R42" i="14"/>
  <c r="R46" i="14"/>
  <c r="R23" i="40"/>
  <c r="R31" i="40"/>
  <c r="R39" i="40"/>
  <c r="R21" i="15"/>
  <c r="R29" i="15"/>
  <c r="R37" i="15"/>
  <c r="R45" i="15"/>
  <c r="R19" i="39"/>
  <c r="R27" i="39"/>
  <c r="R35" i="39"/>
  <c r="R43" i="39"/>
  <c r="R17" i="23"/>
  <c r="R25" i="23"/>
  <c r="R33" i="23"/>
  <c r="R41" i="23"/>
  <c r="R23" i="38"/>
  <c r="R31" i="38"/>
  <c r="R39" i="38"/>
  <c r="R21" i="37"/>
  <c r="R29" i="37"/>
  <c r="R37" i="37"/>
  <c r="R45" i="37"/>
  <c r="R20" i="36"/>
  <c r="R24" i="36"/>
  <c r="R28" i="36"/>
  <c r="R32" i="36"/>
  <c r="R36" i="36"/>
  <c r="R40" i="36"/>
  <c r="R44" i="36"/>
  <c r="R19" i="29"/>
  <c r="R27" i="29"/>
  <c r="R35" i="29"/>
  <c r="R43" i="29"/>
  <c r="R17" i="43"/>
  <c r="R25" i="43"/>
  <c r="R33" i="43"/>
  <c r="R41" i="43"/>
  <c r="R31" i="35"/>
  <c r="R39" i="35"/>
  <c r="R21" i="27"/>
  <c r="R29" i="27"/>
  <c r="R37" i="27"/>
  <c r="R45" i="27"/>
  <c r="R19" i="26"/>
  <c r="R27" i="26"/>
  <c r="R35" i="26"/>
  <c r="R43" i="26"/>
  <c r="R17" i="33"/>
  <c r="R21" i="33"/>
  <c r="R25" i="33"/>
  <c r="R29" i="33"/>
  <c r="R33" i="33"/>
  <c r="R37" i="33"/>
  <c r="R41" i="33"/>
  <c r="R45" i="33"/>
  <c r="R17" i="34"/>
  <c r="R25" i="34"/>
  <c r="R33" i="34"/>
  <c r="R41" i="34"/>
  <c r="R21" i="30"/>
  <c r="R29" i="30"/>
  <c r="R37" i="30"/>
  <c r="R45" i="30"/>
  <c r="R19" i="60"/>
  <c r="R17" i="62"/>
  <c r="R33" i="62"/>
  <c r="R18" i="66"/>
  <c r="R22" i="66"/>
  <c r="R26" i="66"/>
  <c r="R30" i="66"/>
  <c r="R34" i="66"/>
  <c r="R38" i="66"/>
  <c r="R42" i="66"/>
  <c r="R46" i="66"/>
  <c r="R37" i="70"/>
  <c r="R33" i="46"/>
  <c r="R37" i="46"/>
  <c r="R41" i="46"/>
  <c r="R45" i="46"/>
  <c r="R17" i="7"/>
  <c r="R25" i="7"/>
  <c r="R33" i="7"/>
  <c r="R41" i="7"/>
  <c r="R18" i="17"/>
  <c r="R22" i="17"/>
  <c r="R26" i="17"/>
  <c r="R30" i="17"/>
  <c r="R34" i="17"/>
  <c r="R38" i="17"/>
  <c r="R42" i="17"/>
  <c r="R46" i="17"/>
  <c r="R23" i="16"/>
  <c r="R31" i="16"/>
  <c r="R39" i="16"/>
  <c r="R19" i="14"/>
  <c r="R23" i="14"/>
  <c r="R27" i="14"/>
  <c r="R31" i="14"/>
  <c r="R35" i="14"/>
  <c r="R39" i="14"/>
  <c r="R43" i="14"/>
  <c r="R21" i="40"/>
  <c r="R29" i="40"/>
  <c r="R37" i="40"/>
  <c r="R45" i="40"/>
  <c r="R19" i="15"/>
  <c r="R27" i="15"/>
  <c r="R35" i="15"/>
  <c r="R43" i="15"/>
  <c r="R17" i="39"/>
  <c r="R25" i="39"/>
  <c r="R33" i="39"/>
  <c r="R41" i="39"/>
  <c r="R23" i="23"/>
  <c r="R31" i="23"/>
  <c r="R39" i="23"/>
  <c r="R21" i="38"/>
  <c r="R29" i="38"/>
  <c r="R37" i="38"/>
  <c r="R45" i="38"/>
  <c r="R19" i="37"/>
  <c r="R27" i="37"/>
  <c r="R35" i="37"/>
  <c r="R43" i="37"/>
  <c r="R17" i="36"/>
  <c r="R21" i="36"/>
  <c r="R25" i="36"/>
  <c r="R29" i="36"/>
  <c r="R33" i="36"/>
  <c r="R37" i="36"/>
  <c r="R41" i="36"/>
  <c r="R45" i="36"/>
  <c r="R17" i="29"/>
  <c r="R25" i="29"/>
  <c r="R33" i="29"/>
  <c r="R41" i="29"/>
  <c r="R23" i="43"/>
  <c r="R31" i="43"/>
  <c r="R39" i="43"/>
  <c r="R21" i="35"/>
  <c r="R29" i="35"/>
  <c r="R37" i="35"/>
  <c r="R45" i="35"/>
  <c r="R19" i="27"/>
  <c r="R27" i="27"/>
  <c r="R35" i="27"/>
  <c r="R43" i="27"/>
  <c r="R17" i="26"/>
  <c r="R25" i="26"/>
  <c r="R33" i="26"/>
  <c r="R41" i="26"/>
  <c r="R18" i="33"/>
  <c r="R22" i="33"/>
  <c r="R26" i="33"/>
  <c r="R30" i="33"/>
  <c r="R34" i="33"/>
  <c r="R38" i="33"/>
  <c r="R42" i="33"/>
  <c r="R46" i="33"/>
  <c r="R23" i="34"/>
  <c r="R31" i="34"/>
  <c r="R39" i="34"/>
  <c r="R21" i="31"/>
  <c r="R29" i="31"/>
  <c r="R37" i="31"/>
  <c r="R45" i="31"/>
  <c r="R19" i="30"/>
  <c r="R27" i="30"/>
  <c r="R35" i="30"/>
  <c r="R43" i="30"/>
  <c r="R23" i="58"/>
  <c r="R39" i="58"/>
  <c r="R43" i="60"/>
  <c r="R45" i="62"/>
  <c r="R17" i="59"/>
  <c r="R21" i="70"/>
  <c r="R20" i="41"/>
  <c r="R24" i="41"/>
  <c r="R28" i="41"/>
  <c r="R32" i="41"/>
  <c r="R36" i="41"/>
  <c r="R40" i="41"/>
  <c r="R44" i="41"/>
  <c r="R20" i="28"/>
  <c r="R24" i="28"/>
  <c r="R28" i="28"/>
  <c r="R32" i="28"/>
  <c r="R36" i="28"/>
  <c r="R40" i="28"/>
  <c r="R44" i="28"/>
  <c r="R20" i="42"/>
  <c r="R24" i="42"/>
  <c r="R28" i="42"/>
  <c r="R32" i="42"/>
  <c r="R36" i="42"/>
  <c r="R40" i="42"/>
  <c r="R44" i="42"/>
  <c r="R20" i="55"/>
  <c r="R24" i="55"/>
  <c r="R28" i="55"/>
  <c r="R32" i="55"/>
  <c r="R36" i="55"/>
  <c r="R40" i="55"/>
  <c r="R44" i="55"/>
  <c r="R20" i="50"/>
  <c r="R24" i="50"/>
  <c r="R28" i="50"/>
  <c r="R32" i="50"/>
  <c r="R36" i="50"/>
  <c r="R40" i="50"/>
  <c r="R44" i="50"/>
  <c r="R20" i="57"/>
  <c r="R24" i="57"/>
  <c r="R28" i="57"/>
  <c r="R32" i="57"/>
  <c r="R36" i="57"/>
  <c r="R40" i="57"/>
  <c r="R44" i="57"/>
  <c r="R19" i="58"/>
  <c r="R27" i="58"/>
  <c r="R35" i="58"/>
  <c r="R43" i="58"/>
  <c r="R17" i="60"/>
  <c r="R25" i="60"/>
  <c r="R33" i="60"/>
  <c r="R41" i="60"/>
  <c r="R23" i="62"/>
  <c r="R31" i="62"/>
  <c r="R37" i="62"/>
  <c r="R43" i="62"/>
  <c r="R25" i="59"/>
  <c r="R41" i="59"/>
  <c r="R19" i="65"/>
  <c r="R35" i="65"/>
  <c r="R17" i="68"/>
  <c r="R33" i="68"/>
  <c r="R29" i="70"/>
  <c r="R45" i="70"/>
  <c r="R17" i="71"/>
  <c r="R33" i="71"/>
  <c r="R17" i="41"/>
  <c r="R21" i="41"/>
  <c r="R25" i="41"/>
  <c r="R29" i="41"/>
  <c r="R33" i="41"/>
  <c r="R37" i="41"/>
  <c r="R41" i="41"/>
  <c r="R45" i="41"/>
  <c r="R17" i="28"/>
  <c r="R21" i="28"/>
  <c r="R25" i="28"/>
  <c r="R29" i="28"/>
  <c r="R33" i="28"/>
  <c r="R37" i="28"/>
  <c r="R41" i="28"/>
  <c r="R45" i="28"/>
  <c r="R17" i="42"/>
  <c r="R21" i="42"/>
  <c r="R25" i="42"/>
  <c r="R29" i="42"/>
  <c r="R33" i="42"/>
  <c r="R37" i="42"/>
  <c r="R41" i="42"/>
  <c r="R45" i="42"/>
  <c r="R17" i="55"/>
  <c r="R21" i="55"/>
  <c r="R25" i="55"/>
  <c r="R29" i="55"/>
  <c r="R33" i="55"/>
  <c r="R37" i="55"/>
  <c r="R41" i="55"/>
  <c r="R45" i="55"/>
  <c r="R17" i="50"/>
  <c r="R21" i="50"/>
  <c r="R25" i="50"/>
  <c r="R29" i="50"/>
  <c r="R33" i="50"/>
  <c r="R37" i="50"/>
  <c r="R41" i="50"/>
  <c r="R45" i="50"/>
  <c r="R17" i="57"/>
  <c r="R21" i="57"/>
  <c r="R25" i="57"/>
  <c r="R29" i="57"/>
  <c r="R33" i="57"/>
  <c r="R37" i="57"/>
  <c r="R41" i="57"/>
  <c r="R45" i="57"/>
  <c r="R17" i="58"/>
  <c r="R25" i="58"/>
  <c r="R33" i="58"/>
  <c r="R41" i="58"/>
  <c r="R23" i="60"/>
  <c r="R31" i="60"/>
  <c r="R39" i="60"/>
  <c r="R21" i="62"/>
  <c r="R29" i="62"/>
  <c r="R17" i="66"/>
  <c r="R21" i="66"/>
  <c r="R25" i="66"/>
  <c r="R29" i="66"/>
  <c r="R33" i="66"/>
  <c r="R37" i="66"/>
  <c r="R41" i="66"/>
  <c r="R45" i="66"/>
  <c r="R17" i="67"/>
  <c r="R33" i="67"/>
  <c r="R23" i="63"/>
  <c r="R39" i="63"/>
  <c r="R41" i="62"/>
  <c r="R23" i="59"/>
  <c r="R31" i="59"/>
  <c r="R39" i="59"/>
  <c r="R19" i="66"/>
  <c r="R23" i="66"/>
  <c r="R27" i="66"/>
  <c r="R31" i="66"/>
  <c r="R35" i="66"/>
  <c r="R39" i="66"/>
  <c r="R43" i="66"/>
  <c r="R21" i="67"/>
  <c r="R29" i="67"/>
  <c r="R37" i="67"/>
  <c r="R45" i="67"/>
  <c r="R19" i="63"/>
  <c r="R27" i="63"/>
  <c r="R35" i="63"/>
  <c r="R43" i="63"/>
  <c r="R17" i="65"/>
  <c r="R25" i="65"/>
  <c r="R33" i="65"/>
  <c r="R41" i="65"/>
  <c r="R23" i="68"/>
  <c r="R31" i="68"/>
  <c r="R39" i="68"/>
  <c r="R17" i="70"/>
  <c r="R25" i="70"/>
  <c r="R33" i="70"/>
  <c r="R41" i="70"/>
  <c r="R23" i="71"/>
  <c r="R31" i="71"/>
  <c r="R39" i="71"/>
  <c r="R39" i="62"/>
  <c r="R21" i="59"/>
  <c r="R29" i="59"/>
  <c r="R37" i="59"/>
  <c r="R45" i="59"/>
  <c r="R20" i="66"/>
  <c r="R24" i="66"/>
  <c r="R28" i="66"/>
  <c r="R32" i="66"/>
  <c r="R36" i="66"/>
  <c r="R40" i="66"/>
  <c r="R44" i="66"/>
  <c r="R19" i="67"/>
  <c r="R27" i="67"/>
  <c r="R35" i="67"/>
  <c r="R43" i="67"/>
  <c r="R17" i="63"/>
  <c r="R25" i="63"/>
  <c r="R33" i="63"/>
  <c r="R41" i="63"/>
  <c r="R23" i="65"/>
  <c r="R31" i="65"/>
  <c r="R39" i="65"/>
  <c r="R21" i="68"/>
  <c r="R29" i="68"/>
  <c r="R37" i="68"/>
  <c r="R45" i="68"/>
  <c r="R23" i="70"/>
  <c r="R31" i="70"/>
  <c r="R39" i="70"/>
  <c r="R21" i="71"/>
  <c r="R29" i="71"/>
  <c r="R37" i="71"/>
  <c r="R45" i="71"/>
  <c r="R20" i="5"/>
  <c r="R24" i="5"/>
  <c r="R28" i="5"/>
  <c r="R32" i="5"/>
  <c r="R36" i="5"/>
  <c r="R40" i="5"/>
  <c r="R44" i="5"/>
  <c r="R19" i="5"/>
  <c r="R27" i="5"/>
  <c r="R35" i="5"/>
  <c r="R43" i="5"/>
  <c r="R17" i="5"/>
  <c r="R25" i="5"/>
  <c r="R33" i="5"/>
  <c r="R41" i="5"/>
  <c r="R23" i="5"/>
  <c r="R31" i="5"/>
  <c r="R39" i="5"/>
  <c r="R18" i="11"/>
  <c r="R22" i="11"/>
  <c r="R26" i="11"/>
  <c r="R30" i="11"/>
  <c r="R34" i="11"/>
  <c r="R38" i="11"/>
  <c r="R42" i="11"/>
  <c r="R46" i="11"/>
  <c r="R19" i="11"/>
  <c r="R23" i="11"/>
  <c r="R27" i="11"/>
  <c r="R31" i="11"/>
  <c r="R35" i="11"/>
  <c r="R39" i="11"/>
  <c r="R43" i="11"/>
  <c r="R20" i="11"/>
  <c r="R24" i="11"/>
  <c r="R28" i="11"/>
  <c r="R32" i="11"/>
  <c r="R36" i="11"/>
  <c r="R40" i="11"/>
  <c r="R44" i="11"/>
  <c r="R17" i="11"/>
  <c r="R21" i="11"/>
  <c r="R25" i="11"/>
  <c r="R29" i="11"/>
  <c r="R33" i="11"/>
  <c r="R37" i="11"/>
  <c r="R41" i="11"/>
  <c r="R45" i="11"/>
  <c r="R20" i="13"/>
  <c r="R24" i="13"/>
  <c r="R28" i="13"/>
  <c r="R32" i="13"/>
  <c r="R36" i="13"/>
  <c r="R40" i="13"/>
  <c r="R44" i="13"/>
  <c r="R17" i="13"/>
  <c r="R21" i="13"/>
  <c r="R25" i="13"/>
  <c r="R29" i="13"/>
  <c r="R33" i="13"/>
  <c r="R37" i="13"/>
  <c r="R41" i="13"/>
  <c r="R45" i="13"/>
  <c r="R18" i="13"/>
  <c r="R22" i="13"/>
  <c r="R26" i="13"/>
  <c r="R30" i="13"/>
  <c r="R34" i="13"/>
  <c r="R38" i="13"/>
  <c r="R42" i="13"/>
  <c r="R46" i="13"/>
  <c r="R19" i="13"/>
  <c r="R23" i="13"/>
  <c r="R27" i="13"/>
  <c r="R31" i="13"/>
  <c r="R35" i="13"/>
  <c r="R39" i="13"/>
  <c r="R43" i="13"/>
  <c r="U30" i="10"/>
  <c r="U34" i="10"/>
  <c r="U38" i="10"/>
  <c r="U42" i="10"/>
  <c r="U32" i="10"/>
  <c r="U19" i="10"/>
  <c r="U24" i="10"/>
  <c r="U27" i="10"/>
  <c r="U35" i="10"/>
  <c r="U40" i="10"/>
  <c r="U43" i="10"/>
  <c r="U17" i="10"/>
  <c r="U25" i="10"/>
  <c r="U33" i="10"/>
  <c r="U41" i="10"/>
  <c r="T17" i="4"/>
  <c r="T21" i="4"/>
  <c r="T24" i="4"/>
  <c r="T28" i="4"/>
  <c r="T32" i="4"/>
  <c r="T36" i="4"/>
  <c r="T40" i="4"/>
  <c r="T44" i="4"/>
  <c r="T18" i="4"/>
  <c r="T25" i="4"/>
  <c r="T29" i="4"/>
  <c r="T33" i="4"/>
  <c r="T37" i="4"/>
  <c r="T41" i="4"/>
  <c r="T45" i="4"/>
  <c r="Y40" i="54"/>
  <c r="Y46" i="54"/>
  <c r="Y22" i="54"/>
  <c r="Y38" i="54"/>
  <c r="Y23" i="54"/>
  <c r="Y26" i="54"/>
  <c r="Y39" i="54"/>
  <c r="Y42" i="54"/>
  <c r="Y24" i="54"/>
  <c r="Y27" i="54"/>
  <c r="Y30" i="54"/>
  <c r="Y43" i="54"/>
  <c r="Y18" i="54"/>
  <c r="Y21" i="54"/>
  <c r="Y28" i="54"/>
  <c r="Y31" i="54"/>
  <c r="Y34" i="54"/>
  <c r="Y37" i="54"/>
  <c r="Y44" i="54"/>
  <c r="V35" i="44"/>
  <c r="V42" i="44"/>
  <c r="V43" i="44"/>
  <c r="V28" i="44"/>
  <c r="V31" i="44"/>
  <c r="E82" i="64"/>
  <c r="V48" i="44" l="1"/>
  <c r="F183" i="64" l="1"/>
  <c r="P48" i="71"/>
  <c r="O48" i="71"/>
  <c r="M48" i="71"/>
  <c r="K48" i="71"/>
  <c r="E87" i="64" s="1"/>
  <c r="I48" i="71"/>
  <c r="H48" i="71"/>
  <c r="G48" i="71"/>
  <c r="E48" i="71"/>
  <c r="D48" i="71"/>
  <c r="N16" i="71"/>
  <c r="J16" i="71"/>
  <c r="F16" i="71"/>
  <c r="J48" i="71" l="1"/>
  <c r="D87" i="64" s="1"/>
  <c r="F48" i="71"/>
  <c r="C87" i="64" s="1"/>
  <c r="Q16" i="71"/>
  <c r="N48" i="71"/>
  <c r="L48" i="71"/>
  <c r="F87" i="64" s="1"/>
  <c r="H87" i="64" s="1"/>
  <c r="K87" i="64" s="1"/>
  <c r="L87" i="64" l="1"/>
  <c r="D184" i="64" s="1"/>
  <c r="G184" i="64" s="1"/>
  <c r="N50" i="71"/>
  <c r="Q48" i="71"/>
  <c r="R50" i="71" s="1"/>
  <c r="R16" i="71"/>
  <c r="R48" i="71" s="1"/>
  <c r="H37" i="9" s="1"/>
  <c r="M87" i="64" l="1"/>
  <c r="R52" i="71"/>
  <c r="F182" i="64"/>
  <c r="P48" i="70" l="1"/>
  <c r="J86" i="64" s="1"/>
  <c r="O48" i="70"/>
  <c r="I86" i="64" s="1"/>
  <c r="M48" i="70"/>
  <c r="G86" i="64" s="1"/>
  <c r="L48" i="70"/>
  <c r="F86" i="64" s="1"/>
  <c r="K48" i="70"/>
  <c r="I48" i="70"/>
  <c r="H48" i="70"/>
  <c r="G48" i="70"/>
  <c r="E48" i="70"/>
  <c r="D48" i="70"/>
  <c r="N16" i="70"/>
  <c r="J16" i="70"/>
  <c r="F16" i="70"/>
  <c r="F48" i="70" s="1"/>
  <c r="C86" i="64" s="1"/>
  <c r="E86" i="64" l="1"/>
  <c r="H86" i="64" s="1"/>
  <c r="K86" i="64" s="1"/>
  <c r="J48" i="70"/>
  <c r="H89" i="64"/>
  <c r="K89" i="64" s="1"/>
  <c r="L89" i="64" s="1"/>
  <c r="D186" i="64" s="1"/>
  <c r="N48" i="70"/>
  <c r="Q16" i="70"/>
  <c r="D86" i="64" l="1"/>
  <c r="L86" i="64" s="1"/>
  <c r="M86" i="64" s="1"/>
  <c r="M89" i="64"/>
  <c r="Q48" i="70"/>
  <c r="R16" i="70"/>
  <c r="R48" i="70" s="1"/>
  <c r="D183" i="64" l="1"/>
  <c r="G183" i="64" s="1"/>
  <c r="E37" i="9"/>
  <c r="M48" i="54" l="1"/>
  <c r="L48" i="58" l="1"/>
  <c r="L48" i="30"/>
  <c r="L48" i="28"/>
  <c r="L48" i="38"/>
  <c r="L48" i="34"/>
  <c r="L48" i="60"/>
  <c r="L48" i="17"/>
  <c r="L48" i="41"/>
  <c r="L48" i="7"/>
  <c r="L48" i="16"/>
  <c r="N47" i="4"/>
  <c r="S48" i="54"/>
  <c r="L48" i="39"/>
  <c r="L48" i="40"/>
  <c r="L48" i="33"/>
  <c r="L48" i="29"/>
  <c r="L48" i="37"/>
  <c r="L48" i="63"/>
  <c r="L48" i="14"/>
  <c r="P48" i="18"/>
  <c r="O48" i="18"/>
  <c r="P48" i="11"/>
  <c r="O48" i="11"/>
  <c r="P48" i="12"/>
  <c r="O48" i="12"/>
  <c r="P48" i="5"/>
  <c r="O48" i="5"/>
  <c r="P48" i="6"/>
  <c r="O48" i="6"/>
  <c r="P48" i="20"/>
  <c r="O48" i="20"/>
  <c r="P48" i="52"/>
  <c r="O48" i="52"/>
  <c r="P48" i="49"/>
  <c r="O48" i="49"/>
  <c r="P48" i="32"/>
  <c r="O48" i="32"/>
  <c r="P48" i="19"/>
  <c r="O48" i="19"/>
  <c r="P48" i="46"/>
  <c r="O48" i="46"/>
  <c r="P48" i="7"/>
  <c r="O48" i="7"/>
  <c r="P48" i="17"/>
  <c r="O48" i="17"/>
  <c r="P48" i="16"/>
  <c r="O48" i="16"/>
  <c r="P48" i="14"/>
  <c r="O48" i="14"/>
  <c r="P48" i="15"/>
  <c r="O48" i="15"/>
  <c r="P48" i="40"/>
  <c r="O48" i="40"/>
  <c r="P48" i="23"/>
  <c r="O48" i="23"/>
  <c r="P48" i="39"/>
  <c r="O48" i="39"/>
  <c r="P48" i="38"/>
  <c r="O48" i="38"/>
  <c r="P48" i="37"/>
  <c r="O48" i="37"/>
  <c r="P48" i="36"/>
  <c r="O48" i="36"/>
  <c r="P48" i="43"/>
  <c r="O48" i="43"/>
  <c r="P48" i="29"/>
  <c r="O48" i="29"/>
  <c r="P48" i="35"/>
  <c r="O48" i="35"/>
  <c r="P48" i="27"/>
  <c r="O48" i="27"/>
  <c r="P48" i="26"/>
  <c r="O48" i="26"/>
  <c r="P48" i="34"/>
  <c r="O48" i="34"/>
  <c r="P48" i="33"/>
  <c r="O48" i="33"/>
  <c r="P48" i="31"/>
  <c r="O48" i="31"/>
  <c r="P48" i="30"/>
  <c r="O48" i="30"/>
  <c r="P48" i="41"/>
  <c r="O48" i="41"/>
  <c r="P48" i="28"/>
  <c r="O48" i="28"/>
  <c r="P48" i="42"/>
  <c r="O48" i="42"/>
  <c r="P48" i="55"/>
  <c r="O48" i="55"/>
  <c r="P48" i="50"/>
  <c r="O48" i="50"/>
  <c r="P48" i="57"/>
  <c r="O48" i="57"/>
  <c r="P48" i="58"/>
  <c r="O48" i="58"/>
  <c r="P48" i="59"/>
  <c r="O48" i="59"/>
  <c r="P48" i="60"/>
  <c r="O48" i="60"/>
  <c r="P48" i="62"/>
  <c r="O48" i="62"/>
  <c r="P48" i="63"/>
  <c r="O48" i="63"/>
  <c r="P48" i="68"/>
  <c r="O48" i="68"/>
  <c r="P48" i="67"/>
  <c r="O48" i="67"/>
  <c r="P48" i="66"/>
  <c r="O48" i="66"/>
  <c r="P48" i="65"/>
  <c r="O48" i="65"/>
  <c r="P48" i="13"/>
  <c r="O48" i="13"/>
  <c r="M48" i="18"/>
  <c r="K48" i="18"/>
  <c r="M48" i="11"/>
  <c r="L48" i="11"/>
  <c r="K48" i="11"/>
  <c r="M48" i="12"/>
  <c r="L48" i="12"/>
  <c r="K48" i="12"/>
  <c r="M48" i="5"/>
  <c r="L48" i="5"/>
  <c r="K48" i="5"/>
  <c r="M48" i="6"/>
  <c r="L48" i="6"/>
  <c r="K48" i="6"/>
  <c r="M48" i="20"/>
  <c r="M48" i="52"/>
  <c r="L48" i="52"/>
  <c r="K48" i="52"/>
  <c r="M48" i="49"/>
  <c r="L48" i="49"/>
  <c r="K48" i="49"/>
  <c r="M48" i="32"/>
  <c r="L48" i="32"/>
  <c r="K48" i="32"/>
  <c r="M48" i="19"/>
  <c r="L48" i="19"/>
  <c r="K48" i="19"/>
  <c r="M48" i="46"/>
  <c r="L48" i="46"/>
  <c r="K48" i="46"/>
  <c r="M48" i="7"/>
  <c r="K48" i="7"/>
  <c r="M48" i="17"/>
  <c r="K48" i="17"/>
  <c r="M48" i="16"/>
  <c r="M48" i="14"/>
  <c r="K48" i="14"/>
  <c r="M48" i="15"/>
  <c r="L48" i="15"/>
  <c r="K48" i="15"/>
  <c r="M48" i="40"/>
  <c r="K48" i="40"/>
  <c r="M48" i="23"/>
  <c r="L48" i="23"/>
  <c r="K48" i="23"/>
  <c r="M48" i="39"/>
  <c r="K48" i="39"/>
  <c r="M48" i="38"/>
  <c r="K48" i="38"/>
  <c r="M48" i="37"/>
  <c r="K48" i="37"/>
  <c r="M48" i="36"/>
  <c r="L48" i="36"/>
  <c r="K48" i="36"/>
  <c r="M48" i="43"/>
  <c r="L48" i="43"/>
  <c r="K48" i="43"/>
  <c r="M48" i="29"/>
  <c r="K48" i="29"/>
  <c r="M48" i="35"/>
  <c r="L48" i="35"/>
  <c r="K48" i="35"/>
  <c r="M48" i="27"/>
  <c r="L48" i="27"/>
  <c r="K48" i="27"/>
  <c r="M48" i="26"/>
  <c r="L48" i="26"/>
  <c r="K48" i="26"/>
  <c r="M48" i="34"/>
  <c r="K48" i="34"/>
  <c r="M48" i="33"/>
  <c r="K48" i="33"/>
  <c r="M48" i="31"/>
  <c r="L48" i="31"/>
  <c r="K48" i="31"/>
  <c r="M48" i="30"/>
  <c r="K48" i="30"/>
  <c r="M48" i="41"/>
  <c r="K48" i="41"/>
  <c r="M48" i="28"/>
  <c r="K48" i="28"/>
  <c r="M48" i="42"/>
  <c r="L48" i="42"/>
  <c r="K48" i="42"/>
  <c r="M48" i="55"/>
  <c r="L48" i="55"/>
  <c r="K48" i="55"/>
  <c r="M48" i="50"/>
  <c r="L48" i="50"/>
  <c r="K48" i="50"/>
  <c r="M48" i="57"/>
  <c r="L48" i="57"/>
  <c r="K48" i="57"/>
  <c r="M48" i="58"/>
  <c r="K48" i="58"/>
  <c r="M48" i="59"/>
  <c r="L48" i="59"/>
  <c r="K48" i="59"/>
  <c r="M48" i="60"/>
  <c r="K48" i="60"/>
  <c r="M48" i="62"/>
  <c r="L48" i="62"/>
  <c r="K48" i="62"/>
  <c r="M48" i="63"/>
  <c r="K48" i="63"/>
  <c r="M48" i="68"/>
  <c r="L48" i="68"/>
  <c r="M48" i="67"/>
  <c r="L48" i="67"/>
  <c r="K48" i="67"/>
  <c r="M48" i="66"/>
  <c r="L48" i="66"/>
  <c r="K48" i="66"/>
  <c r="M48" i="65"/>
  <c r="L48" i="65"/>
  <c r="K48" i="65"/>
  <c r="M48" i="13"/>
  <c r="K48" i="13"/>
  <c r="I48" i="18"/>
  <c r="H48" i="18"/>
  <c r="G48" i="18"/>
  <c r="I48" i="11"/>
  <c r="H48" i="11"/>
  <c r="G48" i="11"/>
  <c r="I48" i="12"/>
  <c r="H48" i="12"/>
  <c r="G48" i="12"/>
  <c r="I48" i="5"/>
  <c r="H48" i="5"/>
  <c r="G48" i="5"/>
  <c r="I48" i="6"/>
  <c r="H48" i="6"/>
  <c r="G48" i="6"/>
  <c r="I48" i="20"/>
  <c r="H48" i="20"/>
  <c r="G48" i="20"/>
  <c r="I48" i="52"/>
  <c r="H48" i="52"/>
  <c r="G48" i="52"/>
  <c r="I48" i="49"/>
  <c r="H48" i="49"/>
  <c r="G48" i="49"/>
  <c r="I48" i="32"/>
  <c r="H48" i="32"/>
  <c r="G48" i="32"/>
  <c r="I48" i="19"/>
  <c r="H48" i="19"/>
  <c r="G48" i="19"/>
  <c r="I48" i="46"/>
  <c r="H48" i="46"/>
  <c r="G48" i="46"/>
  <c r="I48" i="7"/>
  <c r="H48" i="7"/>
  <c r="G48" i="7"/>
  <c r="I48" i="17"/>
  <c r="H48" i="17"/>
  <c r="G48" i="17"/>
  <c r="I48" i="16"/>
  <c r="H48" i="16"/>
  <c r="G48" i="16"/>
  <c r="I48" i="14"/>
  <c r="H48" i="14"/>
  <c r="G48" i="14"/>
  <c r="I48" i="15"/>
  <c r="H48" i="15"/>
  <c r="G48" i="15"/>
  <c r="I48" i="40"/>
  <c r="H48" i="40"/>
  <c r="G48" i="40"/>
  <c r="I48" i="23"/>
  <c r="H48" i="23"/>
  <c r="G48" i="23"/>
  <c r="I48" i="39"/>
  <c r="H48" i="39"/>
  <c r="G48" i="39"/>
  <c r="I48" i="38"/>
  <c r="H48" i="38"/>
  <c r="G48" i="38"/>
  <c r="I48" i="37"/>
  <c r="H48" i="37"/>
  <c r="G48" i="37"/>
  <c r="I48" i="36"/>
  <c r="H48" i="36"/>
  <c r="G48" i="36"/>
  <c r="I48" i="43"/>
  <c r="H48" i="43"/>
  <c r="G48" i="43"/>
  <c r="I48" i="29"/>
  <c r="H48" i="29"/>
  <c r="G48" i="29"/>
  <c r="I48" i="35"/>
  <c r="H48" i="35"/>
  <c r="G48" i="35"/>
  <c r="I48" i="27"/>
  <c r="H48" i="27"/>
  <c r="G48" i="27"/>
  <c r="I48" i="26"/>
  <c r="H48" i="26"/>
  <c r="G48" i="26"/>
  <c r="I48" i="34"/>
  <c r="H48" i="34"/>
  <c r="G48" i="34"/>
  <c r="I48" i="33"/>
  <c r="H48" i="33"/>
  <c r="G48" i="33"/>
  <c r="I48" i="31"/>
  <c r="H48" i="31"/>
  <c r="G48" i="31"/>
  <c r="I48" i="30"/>
  <c r="H48" i="30"/>
  <c r="G48" i="30"/>
  <c r="I48" i="41"/>
  <c r="H48" i="41"/>
  <c r="G48" i="41"/>
  <c r="I48" i="28"/>
  <c r="H48" i="28"/>
  <c r="G48" i="28"/>
  <c r="I48" i="42"/>
  <c r="H48" i="42"/>
  <c r="G48" i="42"/>
  <c r="I48" i="55"/>
  <c r="H48" i="55"/>
  <c r="G48" i="55"/>
  <c r="I48" i="50"/>
  <c r="H48" i="50"/>
  <c r="G48" i="50"/>
  <c r="I48" i="57"/>
  <c r="H48" i="57"/>
  <c r="G48" i="57"/>
  <c r="I48" i="58"/>
  <c r="H48" i="58"/>
  <c r="G48" i="58"/>
  <c r="I48" i="59"/>
  <c r="H48" i="59"/>
  <c r="G48" i="59"/>
  <c r="I48" i="60"/>
  <c r="H48" i="60"/>
  <c r="G48" i="60"/>
  <c r="I48" i="62"/>
  <c r="H48" i="62"/>
  <c r="G48" i="62"/>
  <c r="I48" i="63"/>
  <c r="H48" i="63"/>
  <c r="G48" i="63"/>
  <c r="I48" i="68"/>
  <c r="H48" i="68"/>
  <c r="G48" i="68"/>
  <c r="I48" i="67"/>
  <c r="H48" i="67"/>
  <c r="G48" i="67"/>
  <c r="I48" i="66"/>
  <c r="H48" i="66"/>
  <c r="G48" i="66"/>
  <c r="I48" i="65"/>
  <c r="H48" i="65"/>
  <c r="G48" i="65"/>
  <c r="I48" i="13"/>
  <c r="H48" i="13"/>
  <c r="G48" i="13"/>
  <c r="S48" i="10"/>
  <c r="R48" i="10"/>
  <c r="P48" i="10"/>
  <c r="O48" i="10"/>
  <c r="N48" i="10"/>
  <c r="L48" i="10"/>
  <c r="K48" i="10"/>
  <c r="J48" i="10"/>
  <c r="I48" i="10"/>
  <c r="H48" i="10"/>
  <c r="G48" i="10"/>
  <c r="R47" i="4"/>
  <c r="Q47" i="4"/>
  <c r="O47" i="4"/>
  <c r="M47" i="4"/>
  <c r="K47" i="4"/>
  <c r="J47" i="4"/>
  <c r="I47" i="4"/>
  <c r="H47" i="4"/>
  <c r="W48" i="54"/>
  <c r="V48" i="54"/>
  <c r="T48" i="54"/>
  <c r="R48" i="54"/>
  <c r="P48" i="54"/>
  <c r="O48" i="54"/>
  <c r="N48" i="54"/>
  <c r="L48" i="54"/>
  <c r="K48" i="54"/>
  <c r="J48" i="54"/>
  <c r="I48" i="54"/>
  <c r="H48" i="54"/>
  <c r="G48" i="54"/>
  <c r="L48" i="20" l="1"/>
  <c r="U16" i="54" l="1"/>
  <c r="X16" i="54" s="1"/>
  <c r="Q16" i="54"/>
  <c r="X48" i="54" l="1"/>
  <c r="U48" i="54"/>
  <c r="F186" i="64" l="1"/>
  <c r="F181" i="64"/>
  <c r="F180" i="64"/>
  <c r="F179" i="64"/>
  <c r="F178" i="64"/>
  <c r="J85" i="64"/>
  <c r="I85" i="64"/>
  <c r="J84" i="64"/>
  <c r="I84" i="64"/>
  <c r="J83" i="64"/>
  <c r="I83" i="64"/>
  <c r="J82" i="64"/>
  <c r="I82" i="64"/>
  <c r="J81" i="64"/>
  <c r="I81" i="64"/>
  <c r="L16" i="4" l="1"/>
  <c r="G85" i="64" l="1"/>
  <c r="E85" i="64"/>
  <c r="E48" i="65"/>
  <c r="D48" i="65"/>
  <c r="F85" i="64"/>
  <c r="J16" i="65"/>
  <c r="F16" i="65"/>
  <c r="G84" i="64"/>
  <c r="E84" i="64"/>
  <c r="E48" i="66"/>
  <c r="D48" i="66"/>
  <c r="N16" i="66"/>
  <c r="F84" i="64"/>
  <c r="J16" i="66"/>
  <c r="F16" i="66"/>
  <c r="G83" i="64"/>
  <c r="E83" i="64"/>
  <c r="E48" i="67"/>
  <c r="D48" i="67"/>
  <c r="F83" i="64"/>
  <c r="N16" i="67"/>
  <c r="J16" i="67"/>
  <c r="F16" i="67"/>
  <c r="G82" i="64"/>
  <c r="E48" i="68"/>
  <c r="D48" i="68"/>
  <c r="F82" i="64"/>
  <c r="N16" i="68"/>
  <c r="J16" i="68"/>
  <c r="F16" i="68"/>
  <c r="H84" i="64" l="1"/>
  <c r="K84" i="64" s="1"/>
  <c r="H82" i="64"/>
  <c r="K82" i="64" s="1"/>
  <c r="H83" i="64"/>
  <c r="K83" i="64" s="1"/>
  <c r="H85" i="64"/>
  <c r="K85" i="64" s="1"/>
  <c r="J48" i="65"/>
  <c r="J48" i="68"/>
  <c r="J48" i="67"/>
  <c r="J48" i="66"/>
  <c r="F48" i="65"/>
  <c r="C85" i="64" s="1"/>
  <c r="F48" i="68"/>
  <c r="C82" i="64" s="1"/>
  <c r="F48" i="67"/>
  <c r="C83" i="64" s="1"/>
  <c r="F48" i="66"/>
  <c r="C84" i="64" s="1"/>
  <c r="N16" i="65"/>
  <c r="N48" i="66"/>
  <c r="Q16" i="66"/>
  <c r="Q16" i="67"/>
  <c r="Q16" i="68"/>
  <c r="D83" i="64" l="1"/>
  <c r="D82" i="64"/>
  <c r="D84" i="64"/>
  <c r="D85" i="64"/>
  <c r="L85" i="64" s="1"/>
  <c r="D182" i="64" s="1"/>
  <c r="L83" i="64"/>
  <c r="L82" i="64"/>
  <c r="L84" i="64"/>
  <c r="N48" i="67"/>
  <c r="Q16" i="65"/>
  <c r="N48" i="65"/>
  <c r="Q48" i="66"/>
  <c r="R50" i="66" s="1"/>
  <c r="R16" i="66"/>
  <c r="R48" i="66" s="1"/>
  <c r="Q48" i="67"/>
  <c r="R50" i="67" s="1"/>
  <c r="R16" i="67"/>
  <c r="R48" i="67" s="1"/>
  <c r="Q48" i="68"/>
  <c r="R50" i="68" s="1"/>
  <c r="R16" i="68"/>
  <c r="R48" i="68" s="1"/>
  <c r="N48" i="68"/>
  <c r="R52" i="68" l="1"/>
  <c r="R52" i="66"/>
  <c r="R52" i="67"/>
  <c r="M84" i="64"/>
  <c r="D181" i="64"/>
  <c r="G181" i="64" s="1"/>
  <c r="M82" i="64"/>
  <c r="D179" i="64"/>
  <c r="G179" i="64" s="1"/>
  <c r="M83" i="64"/>
  <c r="D180" i="64"/>
  <c r="G180" i="64" s="1"/>
  <c r="G186" i="64"/>
  <c r="G182" i="64"/>
  <c r="H35" i="9"/>
  <c r="E36" i="9"/>
  <c r="E35" i="9"/>
  <c r="M85" i="64"/>
  <c r="Q48" i="65"/>
  <c r="R50" i="65" s="1"/>
  <c r="R16" i="65"/>
  <c r="R48" i="65" s="1"/>
  <c r="R52" i="65" l="1"/>
  <c r="H36" i="9"/>
  <c r="F177" i="64" l="1"/>
  <c r="F176" i="64"/>
  <c r="J80" i="64"/>
  <c r="I80" i="64"/>
  <c r="I79" i="64"/>
  <c r="I78" i="64"/>
  <c r="I77" i="64"/>
  <c r="J79" i="64"/>
  <c r="E200" i="64" l="1"/>
  <c r="G120" i="64"/>
  <c r="K26" i="64"/>
  <c r="L26" i="64" s="1"/>
  <c r="M26" i="64" s="1"/>
  <c r="I304" i="64"/>
  <c r="H304" i="64"/>
  <c r="C227" i="64"/>
  <c r="E225" i="64"/>
  <c r="E224" i="64"/>
  <c r="E223" i="64"/>
  <c r="E222" i="64"/>
  <c r="E221" i="64"/>
  <c r="E220" i="64"/>
  <c r="E219" i="64"/>
  <c r="E218" i="64"/>
  <c r="E217" i="64"/>
  <c r="E216" i="64"/>
  <c r="E215" i="64"/>
  <c r="E214" i="64"/>
  <c r="D201" i="64"/>
  <c r="D198" i="64"/>
  <c r="D197" i="64"/>
  <c r="F175" i="64"/>
  <c r="F174" i="64"/>
  <c r="F173" i="64"/>
  <c r="F172" i="64"/>
  <c r="F171" i="64"/>
  <c r="F170" i="64"/>
  <c r="F169" i="64"/>
  <c r="F168" i="64"/>
  <c r="F167" i="64"/>
  <c r="F166" i="64"/>
  <c r="F165" i="64"/>
  <c r="F164" i="64"/>
  <c r="F163" i="64"/>
  <c r="F162" i="64"/>
  <c r="F161" i="64"/>
  <c r="F160" i="64"/>
  <c r="F159" i="64"/>
  <c r="F158" i="64"/>
  <c r="F157" i="64"/>
  <c r="F156" i="64"/>
  <c r="F155" i="64"/>
  <c r="F154" i="64"/>
  <c r="F153" i="64"/>
  <c r="F152" i="64"/>
  <c r="F151" i="64"/>
  <c r="F150" i="64"/>
  <c r="F149" i="64"/>
  <c r="F148" i="64"/>
  <c r="F147" i="64"/>
  <c r="F146" i="64"/>
  <c r="F145" i="64"/>
  <c r="F144" i="64"/>
  <c r="F143" i="64"/>
  <c r="F142" i="64"/>
  <c r="F141" i="64"/>
  <c r="F140" i="64"/>
  <c r="F139" i="64"/>
  <c r="F138" i="64"/>
  <c r="F137" i="64"/>
  <c r="F136" i="64"/>
  <c r="F135" i="64"/>
  <c r="F134" i="64"/>
  <c r="F133" i="64"/>
  <c r="D130" i="64"/>
  <c r="C198" i="64" s="1"/>
  <c r="H282" i="64" s="1"/>
  <c r="F128" i="64"/>
  <c r="G128" i="64" s="1"/>
  <c r="F127" i="64"/>
  <c r="G127" i="64" s="1"/>
  <c r="B127" i="64"/>
  <c r="F126" i="64"/>
  <c r="G126" i="64" s="1"/>
  <c r="B126" i="64"/>
  <c r="F119" i="64"/>
  <c r="J78" i="64"/>
  <c r="J77" i="64"/>
  <c r="J76" i="64"/>
  <c r="I76" i="64"/>
  <c r="J75" i="64"/>
  <c r="I75" i="64"/>
  <c r="J74" i="64"/>
  <c r="I74" i="64"/>
  <c r="J73" i="64"/>
  <c r="I73" i="64"/>
  <c r="J72" i="64"/>
  <c r="I72" i="64"/>
  <c r="J71" i="64"/>
  <c r="I71" i="64"/>
  <c r="J70" i="64"/>
  <c r="I70" i="64"/>
  <c r="J69" i="64"/>
  <c r="I69" i="64"/>
  <c r="J68" i="64"/>
  <c r="I68" i="64"/>
  <c r="J67" i="64"/>
  <c r="I67" i="64"/>
  <c r="J66" i="64"/>
  <c r="I66" i="64"/>
  <c r="J65" i="64"/>
  <c r="I65" i="64"/>
  <c r="J64" i="64"/>
  <c r="I64" i="64"/>
  <c r="J63" i="64"/>
  <c r="I63" i="64"/>
  <c r="J62" i="64"/>
  <c r="I62" i="64"/>
  <c r="J61" i="64"/>
  <c r="I61" i="64"/>
  <c r="J60" i="64"/>
  <c r="I60" i="64"/>
  <c r="J59" i="64"/>
  <c r="I59" i="64"/>
  <c r="J58" i="64"/>
  <c r="I58" i="64"/>
  <c r="J57" i="64"/>
  <c r="I57" i="64"/>
  <c r="J56" i="64"/>
  <c r="I56" i="64"/>
  <c r="J55" i="64"/>
  <c r="J54" i="64"/>
  <c r="I54" i="64"/>
  <c r="J53" i="64"/>
  <c r="I53" i="64"/>
  <c r="J52" i="64"/>
  <c r="I52" i="64"/>
  <c r="J51" i="64"/>
  <c r="I51" i="64"/>
  <c r="J50" i="64"/>
  <c r="I50" i="64"/>
  <c r="J49" i="64"/>
  <c r="I49" i="64"/>
  <c r="J48" i="64"/>
  <c r="I48" i="64"/>
  <c r="J47" i="64"/>
  <c r="I47" i="64"/>
  <c r="J46" i="64"/>
  <c r="I46" i="64"/>
  <c r="J45" i="64"/>
  <c r="I45" i="64"/>
  <c r="J44" i="64"/>
  <c r="I44" i="64"/>
  <c r="J43" i="64"/>
  <c r="I43" i="64"/>
  <c r="J42" i="64"/>
  <c r="I42" i="64"/>
  <c r="J41" i="64"/>
  <c r="I41" i="64"/>
  <c r="J40" i="64"/>
  <c r="I40" i="64"/>
  <c r="I39" i="64"/>
  <c r="J38" i="64"/>
  <c r="I38" i="64"/>
  <c r="J37" i="64"/>
  <c r="I37" i="64"/>
  <c r="J36" i="64"/>
  <c r="I36" i="64"/>
  <c r="J31" i="64"/>
  <c r="I31" i="64"/>
  <c r="G31" i="64"/>
  <c r="F31" i="64"/>
  <c r="E31" i="64"/>
  <c r="D31" i="64"/>
  <c r="C31" i="64"/>
  <c r="H30" i="64"/>
  <c r="K30" i="64" s="1"/>
  <c r="L30" i="64" s="1"/>
  <c r="M30" i="64" s="1"/>
  <c r="K31" i="64" l="1"/>
  <c r="M31" i="64"/>
  <c r="H31" i="64"/>
  <c r="E227" i="64"/>
  <c r="L23" i="64"/>
  <c r="D120" i="64" s="1"/>
  <c r="C200" i="64" s="1"/>
  <c r="H284" i="64" s="1"/>
  <c r="I284" i="64"/>
  <c r="D119" i="64"/>
  <c r="L31" i="64"/>
  <c r="E198" i="64"/>
  <c r="I282" i="64" s="1"/>
  <c r="G130" i="64"/>
  <c r="F120" i="64" l="1"/>
  <c r="D200" i="64"/>
  <c r="D122" i="64"/>
  <c r="G119" i="64"/>
  <c r="G122" i="64" s="1"/>
  <c r="C201" i="64"/>
  <c r="H285" i="64" l="1"/>
  <c r="E201" i="64"/>
  <c r="I285" i="64" s="1"/>
  <c r="E81" i="64" l="1"/>
  <c r="E48" i="63"/>
  <c r="D48" i="63"/>
  <c r="G81" i="64"/>
  <c r="N16" i="63"/>
  <c r="Q16" i="63" s="1"/>
  <c r="J16" i="63"/>
  <c r="F16" i="63"/>
  <c r="J48" i="63" l="1"/>
  <c r="F48" i="63"/>
  <c r="C81" i="64" s="1"/>
  <c r="F81" i="64"/>
  <c r="H81" i="64" s="1"/>
  <c r="K81" i="64" s="1"/>
  <c r="R16" i="63"/>
  <c r="D81" i="64" l="1"/>
  <c r="L81" i="64" s="1"/>
  <c r="N48" i="63"/>
  <c r="R48" i="63"/>
  <c r="Q48" i="63"/>
  <c r="R50" i="63" s="1"/>
  <c r="R52" i="63" l="1"/>
  <c r="M81" i="64"/>
  <c r="D178" i="64"/>
  <c r="G178" i="64" s="1"/>
  <c r="H34" i="9"/>
  <c r="G80" i="64"/>
  <c r="E80" i="64"/>
  <c r="E48" i="62"/>
  <c r="D48" i="62"/>
  <c r="N16" i="62"/>
  <c r="J16" i="62"/>
  <c r="F16" i="62"/>
  <c r="J48" i="62" l="1"/>
  <c r="F48" i="62"/>
  <c r="C80" i="64" s="1"/>
  <c r="Q16" i="62"/>
  <c r="F80" i="64"/>
  <c r="H80" i="64" s="1"/>
  <c r="K80" i="64" s="1"/>
  <c r="D80" i="64" l="1"/>
  <c r="L80" i="64" s="1"/>
  <c r="N48" i="62"/>
  <c r="Q48" i="62"/>
  <c r="R50" i="62" s="1"/>
  <c r="R16" i="62"/>
  <c r="R48" i="62" s="1"/>
  <c r="R52" i="62" l="1"/>
  <c r="D177" i="64"/>
  <c r="G177" i="64" s="1"/>
  <c r="M80" i="64"/>
  <c r="E34" i="9"/>
  <c r="M12" i="44" l="1"/>
  <c r="M17" i="64"/>
  <c r="G79" i="64" l="1"/>
  <c r="F79" i="64"/>
  <c r="E79" i="64"/>
  <c r="E48" i="60"/>
  <c r="D48" i="60"/>
  <c r="N16" i="60"/>
  <c r="Q16" i="60" s="1"/>
  <c r="J16" i="60"/>
  <c r="F16" i="60"/>
  <c r="H79" i="64" l="1"/>
  <c r="K79" i="64" s="1"/>
  <c r="F48" i="60"/>
  <c r="C79" i="64" s="1"/>
  <c r="J48" i="60"/>
  <c r="Q48" i="60"/>
  <c r="N48" i="60"/>
  <c r="R16" i="60"/>
  <c r="D79" i="64" l="1"/>
  <c r="L79" i="64" s="1"/>
  <c r="R50" i="60"/>
  <c r="R48" i="60"/>
  <c r="G78" i="64"/>
  <c r="F78" i="64"/>
  <c r="E78" i="64"/>
  <c r="E48" i="59"/>
  <c r="D48" i="59"/>
  <c r="N16" i="59"/>
  <c r="Q16" i="59" s="1"/>
  <c r="J16" i="59"/>
  <c r="F16" i="59"/>
  <c r="R52" i="60" l="1"/>
  <c r="M79" i="64"/>
  <c r="D176" i="64"/>
  <c r="G176" i="64" s="1"/>
  <c r="H33" i="9"/>
  <c r="H78" i="64"/>
  <c r="K78" i="64" s="1"/>
  <c r="F48" i="59"/>
  <c r="C78" i="64" s="1"/>
  <c r="J48" i="59"/>
  <c r="Q48" i="59"/>
  <c r="R16" i="59"/>
  <c r="N48" i="59"/>
  <c r="D78" i="64" l="1"/>
  <c r="L78" i="64" s="1"/>
  <c r="R50" i="59"/>
  <c r="R48" i="59"/>
  <c r="R52" i="59" l="1"/>
  <c r="D175" i="64"/>
  <c r="G175" i="64" s="1"/>
  <c r="E33" i="9"/>
  <c r="M78" i="64"/>
  <c r="G76" i="64"/>
  <c r="F76" i="64"/>
  <c r="E76" i="64"/>
  <c r="E48" i="58"/>
  <c r="D48" i="58"/>
  <c r="N16" i="58"/>
  <c r="Q16" i="58" s="1"/>
  <c r="J16" i="58"/>
  <c r="F16" i="58"/>
  <c r="G75" i="64"/>
  <c r="F75" i="64"/>
  <c r="E75" i="64"/>
  <c r="E48" i="57"/>
  <c r="D48" i="57"/>
  <c r="N16" i="57"/>
  <c r="Q16" i="57" s="1"/>
  <c r="J16" i="57"/>
  <c r="F16" i="57"/>
  <c r="H75" i="64" l="1"/>
  <c r="K75" i="64" s="1"/>
  <c r="H76" i="64"/>
  <c r="K76" i="64" s="1"/>
  <c r="J48" i="57"/>
  <c r="F48" i="58"/>
  <c r="C76" i="64" s="1"/>
  <c r="J48" i="58"/>
  <c r="F48" i="57"/>
  <c r="C75" i="64" s="1"/>
  <c r="Q48" i="58"/>
  <c r="R16" i="58"/>
  <c r="N48" i="58"/>
  <c r="Q48" i="57"/>
  <c r="R16" i="57"/>
  <c r="N48" i="57"/>
  <c r="D75" i="64" l="1"/>
  <c r="R50" i="57"/>
  <c r="D76" i="64"/>
  <c r="L76" i="64" s="1"/>
  <c r="R50" i="58"/>
  <c r="L75" i="64"/>
  <c r="R48" i="58"/>
  <c r="R48" i="57"/>
  <c r="R52" i="58" l="1"/>
  <c r="R52" i="57"/>
  <c r="D173" i="64"/>
  <c r="G173" i="64" s="1"/>
  <c r="D172" i="64"/>
  <c r="G172" i="64" s="1"/>
  <c r="E31" i="9"/>
  <c r="H31" i="9"/>
  <c r="M76" i="64"/>
  <c r="M75" i="64"/>
  <c r="N27" i="18" l="1"/>
  <c r="Q27" i="18" s="1"/>
  <c r="R27" i="18" s="1"/>
  <c r="N26" i="18"/>
  <c r="Q26" i="18" s="1"/>
  <c r="R26" i="18" s="1"/>
  <c r="N25" i="18"/>
  <c r="Q25" i="18" s="1"/>
  <c r="R25" i="18" s="1"/>
  <c r="N24" i="18"/>
  <c r="Q24" i="18" s="1"/>
  <c r="R24" i="18" s="1"/>
  <c r="N23" i="18"/>
  <c r="Q23" i="18" s="1"/>
  <c r="R23" i="18" s="1"/>
  <c r="N22" i="18"/>
  <c r="Q22" i="18" s="1"/>
  <c r="R22" i="18" s="1"/>
  <c r="N21" i="18"/>
  <c r="Q21" i="18" s="1"/>
  <c r="R21" i="18" s="1"/>
  <c r="N20" i="18"/>
  <c r="Q20" i="18" s="1"/>
  <c r="R20" i="18" s="1"/>
  <c r="N19" i="18"/>
  <c r="Q19" i="18" s="1"/>
  <c r="R19" i="18" s="1"/>
  <c r="N18" i="18"/>
  <c r="Q18" i="18" s="1"/>
  <c r="R18" i="18" s="1"/>
  <c r="N17" i="18"/>
  <c r="Q17" i="18" s="1"/>
  <c r="R17" i="18" s="1"/>
  <c r="P16" i="4"/>
  <c r="S16" i="4" s="1"/>
  <c r="Q16" i="10"/>
  <c r="T16" i="10" s="1"/>
  <c r="N16" i="13"/>
  <c r="Q16" i="13" s="1"/>
  <c r="N16" i="18"/>
  <c r="Q16" i="18" s="1"/>
  <c r="N16" i="11"/>
  <c r="Q16" i="11" s="1"/>
  <c r="N16" i="12"/>
  <c r="Q16" i="12" s="1"/>
  <c r="N16" i="5"/>
  <c r="Q16" i="5" s="1"/>
  <c r="N16" i="6"/>
  <c r="Q16" i="6" s="1"/>
  <c r="N16" i="52"/>
  <c r="Q16" i="52" s="1"/>
  <c r="N16" i="49"/>
  <c r="Q16" i="49" s="1"/>
  <c r="N16" i="32"/>
  <c r="Q16" i="32" s="1"/>
  <c r="N16" i="19"/>
  <c r="Q16" i="19" s="1"/>
  <c r="N16" i="46"/>
  <c r="Q16" i="46" s="1"/>
  <c r="N16" i="7"/>
  <c r="Q16" i="7" s="1"/>
  <c r="N16" i="17"/>
  <c r="Q16" i="17" s="1"/>
  <c r="N16" i="15"/>
  <c r="Q16" i="15" s="1"/>
  <c r="N16" i="14"/>
  <c r="Q16" i="14" s="1"/>
  <c r="N16" i="23"/>
  <c r="Q16" i="23" s="1"/>
  <c r="N16" i="40"/>
  <c r="Q16" i="40" s="1"/>
  <c r="N16" i="39"/>
  <c r="Q16" i="39" s="1"/>
  <c r="N16" i="38"/>
  <c r="Q16" i="38" s="1"/>
  <c r="N16" i="37"/>
  <c r="Q16" i="37" s="1"/>
  <c r="N16" i="36"/>
  <c r="Q16" i="36" s="1"/>
  <c r="N16" i="43"/>
  <c r="Q16" i="43" s="1"/>
  <c r="N16" i="29"/>
  <c r="Q16" i="29" s="1"/>
  <c r="N16" i="35"/>
  <c r="Q16" i="35" s="1"/>
  <c r="N16" i="27"/>
  <c r="Q16" i="27" s="1"/>
  <c r="N16" i="26"/>
  <c r="Q16" i="26" s="1"/>
  <c r="N16" i="34"/>
  <c r="Q16" i="34" s="1"/>
  <c r="N16" i="33"/>
  <c r="Q16" i="33" s="1"/>
  <c r="N16" i="31"/>
  <c r="Q16" i="31" s="1"/>
  <c r="N16" i="30"/>
  <c r="Q16" i="30" s="1"/>
  <c r="N16" i="41"/>
  <c r="Q16" i="41" s="1"/>
  <c r="N16" i="28"/>
  <c r="Q16" i="28" s="1"/>
  <c r="N16" i="42"/>
  <c r="Q16" i="42" s="1"/>
  <c r="N16" i="55"/>
  <c r="Q16" i="55" s="1"/>
  <c r="N16" i="50"/>
  <c r="Q16" i="50" s="1"/>
  <c r="T48" i="10" l="1"/>
  <c r="Q48" i="10"/>
  <c r="N48" i="32"/>
  <c r="N48" i="40"/>
  <c r="N48" i="31"/>
  <c r="N48" i="17"/>
  <c r="N48" i="37"/>
  <c r="N48" i="7"/>
  <c r="N48" i="15"/>
  <c r="N48" i="39"/>
  <c r="N48" i="38"/>
  <c r="N48" i="11"/>
  <c r="N48" i="30"/>
  <c r="N48" i="12"/>
  <c r="N48" i="29"/>
  <c r="N48" i="52"/>
  <c r="N48" i="23"/>
  <c r="N48" i="43"/>
  <c r="N48" i="27"/>
  <c r="N48" i="36"/>
  <c r="N48" i="34"/>
  <c r="N48" i="46"/>
  <c r="N48" i="41"/>
  <c r="N48" i="33"/>
  <c r="N48" i="42"/>
  <c r="N48" i="50"/>
  <c r="N48" i="35"/>
  <c r="N48" i="55"/>
  <c r="N48" i="5"/>
  <c r="N48" i="14"/>
  <c r="N48" i="28"/>
  <c r="N48" i="6"/>
  <c r="N48" i="19"/>
  <c r="N48" i="26"/>
  <c r="N48" i="49"/>
  <c r="P47" i="4"/>
  <c r="E37" i="64" l="1"/>
  <c r="F37" i="64"/>
  <c r="E36" i="64"/>
  <c r="G38" i="64" l="1"/>
  <c r="F16" i="44" l="1"/>
  <c r="G57" i="64" l="1"/>
  <c r="L48" i="44" l="1"/>
  <c r="I55" i="64"/>
  <c r="J39" i="64"/>
  <c r="J90" i="64" l="1"/>
  <c r="J92" i="64" s="1"/>
  <c r="I90" i="64"/>
  <c r="I92" i="64" s="1"/>
  <c r="S47" i="4"/>
  <c r="M48" i="44"/>
  <c r="G37" i="64"/>
  <c r="H37" i="64" s="1"/>
  <c r="K37" i="64" s="1"/>
  <c r="O12" i="44" l="1"/>
  <c r="G7" i="9" l="1"/>
  <c r="G74" i="64"/>
  <c r="F74" i="64"/>
  <c r="E74" i="64"/>
  <c r="E48" i="55"/>
  <c r="D48" i="55"/>
  <c r="J16" i="55"/>
  <c r="F16" i="55"/>
  <c r="G39" i="64"/>
  <c r="E39" i="64"/>
  <c r="E48" i="13"/>
  <c r="D48" i="13"/>
  <c r="J16" i="13"/>
  <c r="F16" i="13"/>
  <c r="G43" i="64"/>
  <c r="F43" i="64"/>
  <c r="E43" i="64"/>
  <c r="E48" i="5"/>
  <c r="D48" i="5"/>
  <c r="J16" i="5"/>
  <c r="F16" i="5"/>
  <c r="G44" i="64"/>
  <c r="F44" i="64"/>
  <c r="E44" i="64"/>
  <c r="E48" i="6"/>
  <c r="D48" i="6"/>
  <c r="J16" i="6"/>
  <c r="F16" i="6"/>
  <c r="G46" i="64"/>
  <c r="F46" i="64"/>
  <c r="E48" i="20"/>
  <c r="D48" i="20"/>
  <c r="J16" i="20"/>
  <c r="F16" i="20"/>
  <c r="G49" i="64"/>
  <c r="F49" i="64"/>
  <c r="E49" i="64"/>
  <c r="E48" i="19"/>
  <c r="D48" i="19"/>
  <c r="J16" i="19"/>
  <c r="F16" i="19"/>
  <c r="G40" i="64"/>
  <c r="E40" i="64"/>
  <c r="E48" i="18"/>
  <c r="D48" i="18"/>
  <c r="J16" i="18"/>
  <c r="F16" i="18"/>
  <c r="G50" i="64"/>
  <c r="F50" i="64"/>
  <c r="E48" i="46"/>
  <c r="D48" i="46"/>
  <c r="J16" i="46"/>
  <c r="F16" i="46"/>
  <c r="G52" i="64"/>
  <c r="F52" i="64"/>
  <c r="E52" i="64"/>
  <c r="E48" i="7"/>
  <c r="D48" i="7"/>
  <c r="J16" i="7"/>
  <c r="F16" i="7"/>
  <c r="G53" i="64"/>
  <c r="F53" i="64"/>
  <c r="E53" i="64"/>
  <c r="E48" i="17"/>
  <c r="D48" i="17"/>
  <c r="J16" i="17"/>
  <c r="F16" i="17"/>
  <c r="G54" i="64"/>
  <c r="F54" i="64"/>
  <c r="E48" i="16"/>
  <c r="D48" i="16"/>
  <c r="J16" i="16"/>
  <c r="F16" i="16"/>
  <c r="G55" i="64"/>
  <c r="F55" i="64"/>
  <c r="E55" i="64"/>
  <c r="E48" i="15"/>
  <c r="D48" i="15"/>
  <c r="J16" i="15"/>
  <c r="F16" i="15"/>
  <c r="G56" i="64"/>
  <c r="F56" i="64"/>
  <c r="E56" i="64"/>
  <c r="E48" i="14"/>
  <c r="D48" i="14"/>
  <c r="J16" i="14"/>
  <c r="F16" i="14"/>
  <c r="G41" i="64"/>
  <c r="F41" i="64"/>
  <c r="E41" i="64"/>
  <c r="E48" i="11"/>
  <c r="D48" i="11"/>
  <c r="J16" i="11"/>
  <c r="F16" i="11"/>
  <c r="G42" i="64"/>
  <c r="F42" i="64"/>
  <c r="E42" i="64"/>
  <c r="E48" i="12"/>
  <c r="D48" i="12"/>
  <c r="J16" i="12"/>
  <c r="F16" i="12"/>
  <c r="F38" i="64"/>
  <c r="E38" i="64"/>
  <c r="E48" i="10"/>
  <c r="D48" i="10"/>
  <c r="F16" i="10"/>
  <c r="G51" i="64"/>
  <c r="F51" i="64"/>
  <c r="E51" i="64"/>
  <c r="E48" i="23"/>
  <c r="D48" i="23"/>
  <c r="J16" i="23"/>
  <c r="F16" i="23"/>
  <c r="G58" i="64"/>
  <c r="F58" i="64"/>
  <c r="E58" i="64"/>
  <c r="E48" i="40"/>
  <c r="D48" i="40"/>
  <c r="J16" i="40"/>
  <c r="F16" i="40"/>
  <c r="G59" i="64"/>
  <c r="F59" i="64"/>
  <c r="E59" i="64"/>
  <c r="E48" i="39"/>
  <c r="D48" i="39"/>
  <c r="J16" i="39"/>
  <c r="F16" i="39"/>
  <c r="G60" i="64"/>
  <c r="F60" i="64"/>
  <c r="E60" i="64"/>
  <c r="E48" i="38"/>
  <c r="D48" i="38"/>
  <c r="J16" i="38"/>
  <c r="F16" i="38"/>
  <c r="G61" i="64"/>
  <c r="F61" i="64"/>
  <c r="E61" i="64"/>
  <c r="E48" i="37"/>
  <c r="D48" i="37"/>
  <c r="J16" i="37"/>
  <c r="F16" i="37"/>
  <c r="G63" i="64"/>
  <c r="F63" i="64"/>
  <c r="E63" i="64"/>
  <c r="E48" i="43"/>
  <c r="D48" i="43"/>
  <c r="F16" i="43"/>
  <c r="G62" i="64"/>
  <c r="F62" i="64"/>
  <c r="E62" i="64"/>
  <c r="E48" i="36"/>
  <c r="D48" i="36"/>
  <c r="J16" i="36"/>
  <c r="F16" i="36"/>
  <c r="G64" i="64"/>
  <c r="F64" i="64"/>
  <c r="E64" i="64"/>
  <c r="E48" i="35"/>
  <c r="D48" i="35"/>
  <c r="J16" i="35"/>
  <c r="F16" i="35"/>
  <c r="G66" i="64"/>
  <c r="F66" i="64"/>
  <c r="E66" i="64"/>
  <c r="E48" i="34"/>
  <c r="D48" i="34"/>
  <c r="J16" i="34"/>
  <c r="F16" i="34"/>
  <c r="G67" i="64"/>
  <c r="F67" i="64"/>
  <c r="E67" i="64"/>
  <c r="E48" i="33"/>
  <c r="D48" i="33"/>
  <c r="J16" i="33"/>
  <c r="F16" i="33"/>
  <c r="G48" i="64"/>
  <c r="F48" i="64"/>
  <c r="E48" i="64"/>
  <c r="E48" i="32"/>
  <c r="D48" i="32"/>
  <c r="J16" i="32"/>
  <c r="F16" i="32"/>
  <c r="G68" i="64"/>
  <c r="F68" i="64"/>
  <c r="E68" i="64"/>
  <c r="E48" i="31"/>
  <c r="D48" i="31"/>
  <c r="J16" i="31"/>
  <c r="F16" i="31"/>
  <c r="G69" i="64"/>
  <c r="F69" i="64"/>
  <c r="E69" i="64"/>
  <c r="E48" i="30"/>
  <c r="D48" i="30"/>
  <c r="J16" i="30"/>
  <c r="F16" i="30"/>
  <c r="G70" i="64"/>
  <c r="F70" i="64"/>
  <c r="E70" i="64"/>
  <c r="E48" i="41"/>
  <c r="D48" i="41"/>
  <c r="J16" i="41"/>
  <c r="F16" i="41"/>
  <c r="G72" i="64"/>
  <c r="F72" i="64"/>
  <c r="E72" i="64"/>
  <c r="E48" i="29"/>
  <c r="D48" i="29"/>
  <c r="J16" i="29"/>
  <c r="F16" i="29"/>
  <c r="G71" i="64"/>
  <c r="F71" i="64"/>
  <c r="E71" i="64"/>
  <c r="E48" i="28"/>
  <c r="D48" i="28"/>
  <c r="J16" i="28"/>
  <c r="F16" i="28"/>
  <c r="G73" i="64"/>
  <c r="F73" i="64"/>
  <c r="E73" i="64"/>
  <c r="E48" i="42"/>
  <c r="D48" i="42"/>
  <c r="J16" i="42"/>
  <c r="F16" i="42"/>
  <c r="G65" i="64"/>
  <c r="F65" i="64"/>
  <c r="E65" i="64"/>
  <c r="E48" i="27"/>
  <c r="D48" i="27"/>
  <c r="J16" i="27"/>
  <c r="F16" i="27"/>
  <c r="F57" i="64"/>
  <c r="E57" i="64"/>
  <c r="E48" i="26"/>
  <c r="D48" i="26"/>
  <c r="J16" i="26"/>
  <c r="F16" i="26"/>
  <c r="G77" i="64"/>
  <c r="F77" i="64"/>
  <c r="E77" i="64"/>
  <c r="E48" i="50"/>
  <c r="D48" i="50"/>
  <c r="J16" i="50"/>
  <c r="F16" i="50"/>
  <c r="G47" i="64"/>
  <c r="F47" i="64"/>
  <c r="E47" i="64"/>
  <c r="E48" i="49"/>
  <c r="D48" i="49"/>
  <c r="J16" i="49"/>
  <c r="F16" i="49"/>
  <c r="G45" i="64"/>
  <c r="F45" i="64"/>
  <c r="E45" i="64"/>
  <c r="E48" i="52"/>
  <c r="D48" i="52"/>
  <c r="J16" i="52"/>
  <c r="F16" i="52"/>
  <c r="E48" i="44"/>
  <c r="G47" i="4"/>
  <c r="E47" i="4"/>
  <c r="D47" i="4"/>
  <c r="F16" i="4"/>
  <c r="R16" i="23" l="1"/>
  <c r="R16" i="29"/>
  <c r="R16" i="30"/>
  <c r="R16" i="32"/>
  <c r="R16" i="34"/>
  <c r="R16" i="36"/>
  <c r="R16" i="37"/>
  <c r="R16" i="39"/>
  <c r="H38" i="64"/>
  <c r="K38" i="64" s="1"/>
  <c r="H47" i="64"/>
  <c r="K47" i="64" s="1"/>
  <c r="H57" i="64"/>
  <c r="K57" i="64" s="1"/>
  <c r="H56" i="64"/>
  <c r="K56" i="64" s="1"/>
  <c r="H77" i="64"/>
  <c r="K77" i="64" s="1"/>
  <c r="H41" i="64"/>
  <c r="K41" i="64" s="1"/>
  <c r="H55" i="64"/>
  <c r="K55" i="64" s="1"/>
  <c r="H74" i="64"/>
  <c r="K74" i="64" s="1"/>
  <c r="H73" i="64"/>
  <c r="K73" i="64" s="1"/>
  <c r="H72" i="64"/>
  <c r="K72" i="64" s="1"/>
  <c r="H69" i="64"/>
  <c r="K69" i="64" s="1"/>
  <c r="H48" i="64"/>
  <c r="K48" i="64" s="1"/>
  <c r="H66" i="64"/>
  <c r="K66" i="64" s="1"/>
  <c r="H62" i="64"/>
  <c r="K62" i="64" s="1"/>
  <c r="H61" i="64"/>
  <c r="K61" i="64" s="1"/>
  <c r="H59" i="64"/>
  <c r="K59" i="64" s="1"/>
  <c r="H58" i="64"/>
  <c r="K58" i="64" s="1"/>
  <c r="H52" i="64"/>
  <c r="K52" i="64" s="1"/>
  <c r="H44" i="64"/>
  <c r="K44" i="64" s="1"/>
  <c r="H65" i="64"/>
  <c r="K65" i="64" s="1"/>
  <c r="H71" i="64"/>
  <c r="K71" i="64" s="1"/>
  <c r="H70" i="64"/>
  <c r="K70" i="64" s="1"/>
  <c r="H68" i="64"/>
  <c r="K68" i="64" s="1"/>
  <c r="H67" i="64"/>
  <c r="K67" i="64" s="1"/>
  <c r="H64" i="64"/>
  <c r="K64" i="64" s="1"/>
  <c r="H63" i="64"/>
  <c r="K63" i="64" s="1"/>
  <c r="H60" i="64"/>
  <c r="K60" i="64" s="1"/>
  <c r="H51" i="64"/>
  <c r="K51" i="64" s="1"/>
  <c r="H42" i="64"/>
  <c r="K42" i="64" s="1"/>
  <c r="H53" i="64"/>
  <c r="K53" i="64" s="1"/>
  <c r="H49" i="64"/>
  <c r="K49" i="64" s="1"/>
  <c r="H45" i="64"/>
  <c r="K45" i="64" s="1"/>
  <c r="H43" i="64"/>
  <c r="K43" i="64" s="1"/>
  <c r="R16" i="42"/>
  <c r="T16" i="4"/>
  <c r="R16" i="27"/>
  <c r="R16" i="28"/>
  <c r="R16" i="41"/>
  <c r="R16" i="31"/>
  <c r="R16" i="33"/>
  <c r="R16" i="35"/>
  <c r="R16" i="43"/>
  <c r="R16" i="38"/>
  <c r="R16" i="40"/>
  <c r="R16" i="12"/>
  <c r="R16" i="11"/>
  <c r="R16" i="14"/>
  <c r="R16" i="15"/>
  <c r="R16" i="17"/>
  <c r="R16" i="7"/>
  <c r="R16" i="46"/>
  <c r="R16" i="19"/>
  <c r="R16" i="6"/>
  <c r="R16" i="5"/>
  <c r="R16" i="13"/>
  <c r="R16" i="55"/>
  <c r="R16" i="52"/>
  <c r="R16" i="49"/>
  <c r="R16" i="50"/>
  <c r="R16" i="26"/>
  <c r="R16" i="18"/>
  <c r="D48" i="44"/>
  <c r="J48" i="44"/>
  <c r="Q48" i="52"/>
  <c r="Q48" i="49"/>
  <c r="Q48" i="26"/>
  <c r="Q48" i="27"/>
  <c r="Q48" i="42"/>
  <c r="Q48" i="28"/>
  <c r="Q48" i="29"/>
  <c r="Q48" i="41"/>
  <c r="Q48" i="30"/>
  <c r="Q48" i="31"/>
  <c r="Q48" i="32"/>
  <c r="Q48" i="33"/>
  <c r="Q48" i="35"/>
  <c r="Q48" i="38"/>
  <c r="Q48" i="40"/>
  <c r="Q48" i="23"/>
  <c r="Q48" i="14"/>
  <c r="Q48" i="17"/>
  <c r="Q48" i="7"/>
  <c r="Q48" i="19"/>
  <c r="Q48" i="6"/>
  <c r="Q48" i="5"/>
  <c r="Q48" i="55"/>
  <c r="L47" i="4"/>
  <c r="F48" i="52"/>
  <c r="C45" i="64" s="1"/>
  <c r="F48" i="49"/>
  <c r="C47" i="64" s="1"/>
  <c r="F48" i="26"/>
  <c r="C57" i="64" s="1"/>
  <c r="F48" i="27"/>
  <c r="C65" i="64" s="1"/>
  <c r="F48" i="42"/>
  <c r="C73" i="64" s="1"/>
  <c r="F48" i="28"/>
  <c r="C71" i="64" s="1"/>
  <c r="F48" i="29"/>
  <c r="C72" i="64" s="1"/>
  <c r="F48" i="41"/>
  <c r="C70" i="64" s="1"/>
  <c r="F48" i="30"/>
  <c r="C69" i="64" s="1"/>
  <c r="F48" i="35"/>
  <c r="C64" i="64" s="1"/>
  <c r="F48" i="36"/>
  <c r="C62" i="64" s="1"/>
  <c r="F48" i="43"/>
  <c r="C63" i="64" s="1"/>
  <c r="F48" i="38"/>
  <c r="C60" i="64" s="1"/>
  <c r="F48" i="40"/>
  <c r="C58" i="64" s="1"/>
  <c r="F48" i="23"/>
  <c r="C51" i="64" s="1"/>
  <c r="F48" i="10"/>
  <c r="C38" i="64" s="1"/>
  <c r="F48" i="12"/>
  <c r="C42" i="64" s="1"/>
  <c r="F48" i="14"/>
  <c r="C56" i="64" s="1"/>
  <c r="F48" i="15"/>
  <c r="C55" i="64" s="1"/>
  <c r="F48" i="16"/>
  <c r="C54" i="64" s="1"/>
  <c r="F48" i="17"/>
  <c r="C53" i="64" s="1"/>
  <c r="F48" i="7"/>
  <c r="C52" i="64" s="1"/>
  <c r="F48" i="46"/>
  <c r="C50" i="64" s="1"/>
  <c r="F48" i="18"/>
  <c r="C40" i="64" s="1"/>
  <c r="F48" i="19"/>
  <c r="C49" i="64" s="1"/>
  <c r="F48" i="6"/>
  <c r="C44" i="64" s="1"/>
  <c r="F48" i="5"/>
  <c r="C43" i="64" s="1"/>
  <c r="F48" i="13"/>
  <c r="C39" i="64" s="1"/>
  <c r="F48" i="55"/>
  <c r="C74" i="64" s="1"/>
  <c r="F48" i="32"/>
  <c r="C48" i="64" s="1"/>
  <c r="F48" i="34"/>
  <c r="C66" i="64" s="1"/>
  <c r="F47" i="4"/>
  <c r="C37" i="64" s="1"/>
  <c r="J48" i="52"/>
  <c r="J48" i="49"/>
  <c r="J48" i="50"/>
  <c r="J48" i="26"/>
  <c r="J48" i="27"/>
  <c r="J48" i="31"/>
  <c r="J48" i="33"/>
  <c r="J48" i="35"/>
  <c r="J48" i="36"/>
  <c r="J48" i="43"/>
  <c r="J48" i="37"/>
  <c r="J48" i="38"/>
  <c r="J48" i="39"/>
  <c r="J48" i="40"/>
  <c r="J48" i="12"/>
  <c r="D42" i="64" s="1"/>
  <c r="J48" i="11"/>
  <c r="J48" i="14"/>
  <c r="J48" i="15"/>
  <c r="J48" i="16"/>
  <c r="J48" i="7"/>
  <c r="J48" i="19"/>
  <c r="J48" i="20"/>
  <c r="J48" i="6"/>
  <c r="J48" i="5"/>
  <c r="J48" i="13"/>
  <c r="J48" i="55"/>
  <c r="F48" i="37"/>
  <c r="C61" i="64" s="1"/>
  <c r="Q48" i="37"/>
  <c r="Q48" i="43"/>
  <c r="J48" i="23"/>
  <c r="F48" i="11"/>
  <c r="C41" i="64" s="1"/>
  <c r="Q48" i="15"/>
  <c r="F48" i="50"/>
  <c r="C77" i="64" s="1"/>
  <c r="Q48" i="50"/>
  <c r="Q48" i="34"/>
  <c r="Q48" i="36"/>
  <c r="F48" i="39"/>
  <c r="C59" i="64" s="1"/>
  <c r="Q48" i="39"/>
  <c r="Q48" i="12"/>
  <c r="J48" i="17"/>
  <c r="J48" i="46"/>
  <c r="Q48" i="11"/>
  <c r="J48" i="18"/>
  <c r="F48" i="20"/>
  <c r="C46" i="64" s="1"/>
  <c r="J48" i="34"/>
  <c r="J48" i="42"/>
  <c r="J48" i="28"/>
  <c r="J48" i="29"/>
  <c r="J48" i="41"/>
  <c r="J48" i="30"/>
  <c r="F48" i="31"/>
  <c r="C68" i="64" s="1"/>
  <c r="J48" i="32"/>
  <c r="F48" i="33"/>
  <c r="C67" i="64" s="1"/>
  <c r="D48" i="64" l="1"/>
  <c r="L48" i="64" s="1"/>
  <c r="R50" i="32"/>
  <c r="D53" i="64"/>
  <c r="L53" i="64" s="1"/>
  <c r="R50" i="17"/>
  <c r="D60" i="64"/>
  <c r="L60" i="64" s="1"/>
  <c r="R50" i="38"/>
  <c r="D57" i="64"/>
  <c r="L57" i="64" s="1"/>
  <c r="D40" i="64"/>
  <c r="D54" i="64"/>
  <c r="D67" i="64"/>
  <c r="L67" i="64" s="1"/>
  <c r="R50" i="33"/>
  <c r="D73" i="64"/>
  <c r="L73" i="64" s="1"/>
  <c r="R50" i="42"/>
  <c r="D74" i="64"/>
  <c r="L74" i="64" s="1"/>
  <c r="R50" i="55"/>
  <c r="D46" i="64"/>
  <c r="D55" i="64"/>
  <c r="L55" i="64" s="1"/>
  <c r="R50" i="15"/>
  <c r="D58" i="64"/>
  <c r="L58" i="64" s="1"/>
  <c r="R50" i="40"/>
  <c r="D63" i="64"/>
  <c r="L63" i="64" s="1"/>
  <c r="R50" i="43"/>
  <c r="D68" i="64"/>
  <c r="L68" i="64" s="1"/>
  <c r="R50" i="31"/>
  <c r="D47" i="64"/>
  <c r="L47" i="64" s="1"/>
  <c r="R50" i="49"/>
  <c r="D72" i="64"/>
  <c r="L72" i="64" s="1"/>
  <c r="R50" i="29"/>
  <c r="D52" i="64"/>
  <c r="L52" i="64" s="1"/>
  <c r="R50" i="7"/>
  <c r="D64" i="64"/>
  <c r="L64" i="64" s="1"/>
  <c r="R50" i="35"/>
  <c r="D71" i="64"/>
  <c r="L71" i="64" s="1"/>
  <c r="R50" i="28"/>
  <c r="D44" i="64"/>
  <c r="L44" i="64" s="1"/>
  <c r="R50" i="6"/>
  <c r="D61" i="64"/>
  <c r="L61" i="64" s="1"/>
  <c r="R50" i="37"/>
  <c r="D77" i="64"/>
  <c r="L77" i="64" s="1"/>
  <c r="R50" i="50"/>
  <c r="D69" i="64"/>
  <c r="L69" i="64" s="1"/>
  <c r="R50" i="30"/>
  <c r="D51" i="64"/>
  <c r="L51" i="64" s="1"/>
  <c r="R50" i="23"/>
  <c r="D70" i="64"/>
  <c r="L70" i="64" s="1"/>
  <c r="R50" i="41"/>
  <c r="D66" i="64"/>
  <c r="L66" i="64" s="1"/>
  <c r="R50" i="34"/>
  <c r="D50" i="64"/>
  <c r="D49" i="64"/>
  <c r="L49" i="64" s="1"/>
  <c r="R50" i="19"/>
  <c r="D56" i="64"/>
  <c r="L56" i="64" s="1"/>
  <c r="R50" i="14"/>
  <c r="D59" i="64"/>
  <c r="L59" i="64" s="1"/>
  <c r="R50" i="39"/>
  <c r="D62" i="64"/>
  <c r="L62" i="64" s="1"/>
  <c r="R50" i="36"/>
  <c r="D65" i="64"/>
  <c r="L65" i="64" s="1"/>
  <c r="D162" i="64" s="1"/>
  <c r="R50" i="27"/>
  <c r="D45" i="64"/>
  <c r="L45" i="64" s="1"/>
  <c r="R50" i="52"/>
  <c r="D43" i="64"/>
  <c r="L43" i="64" s="1"/>
  <c r="D140" i="64" s="1"/>
  <c r="D41" i="64"/>
  <c r="L41" i="64" s="1"/>
  <c r="D39" i="64"/>
  <c r="D37" i="64"/>
  <c r="L37" i="64" s="1"/>
  <c r="L42" i="64"/>
  <c r="T47" i="4"/>
  <c r="R48" i="41"/>
  <c r="R48" i="49"/>
  <c r="R48" i="5"/>
  <c r="R48" i="7"/>
  <c r="R48" i="14"/>
  <c r="R48" i="12"/>
  <c r="R48" i="23"/>
  <c r="R48" i="39"/>
  <c r="R48" i="36"/>
  <c r="R48" i="34"/>
  <c r="R48" i="26"/>
  <c r="R48" i="6"/>
  <c r="R48" i="19"/>
  <c r="R48" i="17"/>
  <c r="R48" i="15"/>
  <c r="R48" i="11"/>
  <c r="R48" i="40"/>
  <c r="R48" i="38"/>
  <c r="R48" i="43"/>
  <c r="R48" i="35"/>
  <c r="R48" i="27"/>
  <c r="R48" i="50"/>
  <c r="R48" i="52"/>
  <c r="R48" i="55"/>
  <c r="F48" i="44"/>
  <c r="D43" i="9" s="1"/>
  <c r="R48" i="37"/>
  <c r="R48" i="31"/>
  <c r="R48" i="33"/>
  <c r="R48" i="28"/>
  <c r="R48" i="42"/>
  <c r="R48" i="32"/>
  <c r="R48" i="30"/>
  <c r="R48" i="29"/>
  <c r="R52" i="17" l="1"/>
  <c r="R52" i="34"/>
  <c r="R52" i="23"/>
  <c r="R52" i="50"/>
  <c r="R52" i="31"/>
  <c r="R52" i="42"/>
  <c r="R52" i="35"/>
  <c r="R52" i="39"/>
  <c r="R52" i="6"/>
  <c r="R52" i="52"/>
  <c r="R52" i="36"/>
  <c r="R52" i="14"/>
  <c r="R52" i="41"/>
  <c r="R52" i="30"/>
  <c r="R52" i="37"/>
  <c r="R52" i="28"/>
  <c r="R52" i="7"/>
  <c r="R52" i="49"/>
  <c r="R52" i="43"/>
  <c r="R52" i="15"/>
  <c r="R52" i="55"/>
  <c r="R52" i="33"/>
  <c r="R52" i="38"/>
  <c r="R52" i="32"/>
  <c r="R52" i="27"/>
  <c r="R52" i="19"/>
  <c r="R52" i="29"/>
  <c r="R52" i="40"/>
  <c r="D163" i="64"/>
  <c r="G163" i="64" s="1"/>
  <c r="M61" i="64"/>
  <c r="D158" i="64"/>
  <c r="G158" i="64" s="1"/>
  <c r="M71" i="64"/>
  <c r="D168" i="64"/>
  <c r="G168" i="64" s="1"/>
  <c r="D171" i="64"/>
  <c r="G171" i="64" s="1"/>
  <c r="D166" i="64"/>
  <c r="G166" i="64" s="1"/>
  <c r="D165" i="64"/>
  <c r="G165" i="64" s="1"/>
  <c r="D161" i="64"/>
  <c r="G161" i="64" s="1"/>
  <c r="M63" i="64"/>
  <c r="D160" i="64"/>
  <c r="G160" i="64" s="1"/>
  <c r="D174" i="64"/>
  <c r="G174" i="64" s="1"/>
  <c r="D170" i="64"/>
  <c r="G170" i="64" s="1"/>
  <c r="D154" i="64"/>
  <c r="G154" i="64" s="1"/>
  <c r="D164" i="64"/>
  <c r="G164" i="64" s="1"/>
  <c r="M62" i="64"/>
  <c r="D159" i="64"/>
  <c r="G159" i="64" s="1"/>
  <c r="M60" i="64"/>
  <c r="D157" i="64"/>
  <c r="G157" i="64" s="1"/>
  <c r="M59" i="64"/>
  <c r="D156" i="64"/>
  <c r="G156" i="64" s="1"/>
  <c r="D148" i="64"/>
  <c r="G148" i="64" s="1"/>
  <c r="D155" i="64"/>
  <c r="G155" i="64" s="1"/>
  <c r="M55" i="64"/>
  <c r="D152" i="64"/>
  <c r="G152" i="64" s="1"/>
  <c r="D153" i="64"/>
  <c r="G153" i="64" s="1"/>
  <c r="D150" i="64"/>
  <c r="G150" i="64" s="1"/>
  <c r="M52" i="64"/>
  <c r="D149" i="64"/>
  <c r="G149" i="64" s="1"/>
  <c r="M49" i="64"/>
  <c r="D146" i="64"/>
  <c r="G146" i="64" s="1"/>
  <c r="D144" i="64"/>
  <c r="G144" i="64" s="1"/>
  <c r="M48" i="64"/>
  <c r="D145" i="64"/>
  <c r="G145" i="64" s="1"/>
  <c r="D142" i="64"/>
  <c r="G142" i="64" s="1"/>
  <c r="D141" i="64"/>
  <c r="G141" i="64" s="1"/>
  <c r="D139" i="64"/>
  <c r="G139" i="64" s="1"/>
  <c r="D138" i="64"/>
  <c r="G138" i="64" s="1"/>
  <c r="D134" i="64"/>
  <c r="G134" i="64" s="1"/>
  <c r="D169" i="64"/>
  <c r="G169" i="64" s="1"/>
  <c r="M70" i="64"/>
  <c r="D167" i="64"/>
  <c r="G167" i="64" s="1"/>
  <c r="E13" i="9"/>
  <c r="E19" i="9"/>
  <c r="H29" i="9"/>
  <c r="E21" i="9"/>
  <c r="H12" i="9"/>
  <c r="H18" i="9"/>
  <c r="E24" i="9"/>
  <c r="E28" i="9"/>
  <c r="H25" i="9"/>
  <c r="E30" i="9"/>
  <c r="H27" i="9"/>
  <c r="E18" i="9"/>
  <c r="E22" i="9"/>
  <c r="E27" i="9"/>
  <c r="E32" i="9"/>
  <c r="E16" i="9"/>
  <c r="G162" i="64"/>
  <c r="E15" i="9"/>
  <c r="M51" i="64"/>
  <c r="M53" i="64"/>
  <c r="M67" i="64"/>
  <c r="M45" i="64"/>
  <c r="M37" i="64"/>
  <c r="M69" i="64"/>
  <c r="M57" i="64"/>
  <c r="M47" i="64"/>
  <c r="M56" i="64"/>
  <c r="M65" i="64"/>
  <c r="M73" i="64"/>
  <c r="M58" i="64"/>
  <c r="M68" i="64"/>
  <c r="M41" i="64"/>
  <c r="M77" i="64"/>
  <c r="M66" i="64"/>
  <c r="M42" i="64"/>
  <c r="M74" i="64"/>
  <c r="M72" i="64"/>
  <c r="M64" i="64"/>
  <c r="M44" i="64"/>
  <c r="M43" i="64"/>
  <c r="E23" i="9"/>
  <c r="H19" i="9"/>
  <c r="H26" i="9"/>
  <c r="H23" i="9"/>
  <c r="H28" i="9"/>
  <c r="H13" i="9"/>
  <c r="H17" i="9"/>
  <c r="H24" i="9"/>
  <c r="H22" i="9"/>
  <c r="H16" i="9"/>
  <c r="H30" i="9"/>
  <c r="H32" i="9"/>
  <c r="H20" i="9"/>
  <c r="H15" i="9"/>
  <c r="H21" i="9"/>
  <c r="H14" i="9"/>
  <c r="F16" i="54"/>
  <c r="Y16" i="54" s="1"/>
  <c r="G36" i="64"/>
  <c r="E48" i="54"/>
  <c r="D48" i="54"/>
  <c r="G90" i="64" l="1"/>
  <c r="G92" i="64" s="1"/>
  <c r="Y48" i="54"/>
  <c r="G140" i="64"/>
  <c r="F48" i="54"/>
  <c r="C36" i="64" s="1"/>
  <c r="Q48" i="54"/>
  <c r="F36" i="64"/>
  <c r="D36" i="64" l="1"/>
  <c r="C90" i="64"/>
  <c r="C92" i="64" s="1"/>
  <c r="H36" i="64"/>
  <c r="K36" i="64" s="1"/>
  <c r="L36" i="64" l="1"/>
  <c r="M36" i="64" s="1"/>
  <c r="E12" i="9"/>
  <c r="D133" i="64" l="1"/>
  <c r="G133" i="64" s="1"/>
  <c r="Q48" i="46"/>
  <c r="R50" i="46" s="1"/>
  <c r="R48" i="46"/>
  <c r="R52" i="46" l="1"/>
  <c r="E26" i="9"/>
  <c r="E50" i="64"/>
  <c r="H50" i="64" l="1"/>
  <c r="K50" i="64" s="1"/>
  <c r="L50" i="64" l="1"/>
  <c r="D147" i="64" l="1"/>
  <c r="M50" i="64"/>
  <c r="G147" i="64" l="1"/>
  <c r="M16" i="10"/>
  <c r="M48" i="10" l="1"/>
  <c r="G48" i="44"/>
  <c r="U16" i="10"/>
  <c r="U48" i="10" s="1"/>
  <c r="D38" i="64" l="1"/>
  <c r="D90" i="64" s="1"/>
  <c r="D92" i="64" s="1"/>
  <c r="E17" i="9"/>
  <c r="E43" i="9"/>
  <c r="L38" i="64" l="1"/>
  <c r="D135" i="64" s="1"/>
  <c r="G135" i="64" s="1"/>
  <c r="L48" i="13"/>
  <c r="F39" i="64" s="1"/>
  <c r="M38" i="64" l="1"/>
  <c r="Q48" i="13"/>
  <c r="R48" i="13"/>
  <c r="H39" i="64"/>
  <c r="K39" i="64" s="1"/>
  <c r="N48" i="13"/>
  <c r="E14" i="9" l="1"/>
  <c r="G39" i="9" s="1"/>
  <c r="L39" i="64"/>
  <c r="D136" i="64" s="1"/>
  <c r="M39" i="64" l="1"/>
  <c r="G136" i="64" l="1"/>
  <c r="N16" i="20"/>
  <c r="K48" i="20"/>
  <c r="E46" i="64" s="1"/>
  <c r="H46" i="64" l="1"/>
  <c r="K46" i="64" s="1"/>
  <c r="L46" i="64" s="1"/>
  <c r="D143" i="64" s="1"/>
  <c r="N48" i="20"/>
  <c r="Q16" i="20"/>
  <c r="Q48" i="20" l="1"/>
  <c r="R50" i="20" s="1"/>
  <c r="R16" i="20"/>
  <c r="R48" i="20" s="1"/>
  <c r="M46" i="64"/>
  <c r="R52" i="20" l="1"/>
  <c r="E20" i="9"/>
  <c r="G143" i="64"/>
  <c r="K16" i="44"/>
  <c r="N16" i="44" s="1"/>
  <c r="N16" i="16"/>
  <c r="N48" i="16" s="1"/>
  <c r="K48" i="16"/>
  <c r="E54" i="64" s="1"/>
  <c r="E90" i="64" s="1"/>
  <c r="Q16" i="16" l="1"/>
  <c r="Q48" i="16" s="1"/>
  <c r="R50" i="16" s="1"/>
  <c r="O16" i="44"/>
  <c r="H54" i="64"/>
  <c r="K54" i="64" s="1"/>
  <c r="H48" i="44"/>
  <c r="R16" i="16" l="1"/>
  <c r="R48" i="16" s="1"/>
  <c r="R52" i="16" s="1"/>
  <c r="E92" i="64"/>
  <c r="L54" i="64"/>
  <c r="E29" i="9" l="1"/>
  <c r="D151" i="64"/>
  <c r="M54" i="64"/>
  <c r="G151" i="64" l="1"/>
  <c r="N48" i="18"/>
  <c r="L48" i="18"/>
  <c r="F40" i="64" s="1"/>
  <c r="F90" i="64" s="1"/>
  <c r="H40" i="64" l="1"/>
  <c r="K40" i="64" s="1"/>
  <c r="L40" i="64" s="1"/>
  <c r="M40" i="64" s="1"/>
  <c r="M90" i="64" s="1"/>
  <c r="H90" i="64"/>
  <c r="H92" i="64" s="1"/>
  <c r="F92" i="64"/>
  <c r="N48" i="44"/>
  <c r="I48" i="44"/>
  <c r="K48" i="44" s="1"/>
  <c r="O48" i="44" l="1"/>
  <c r="F43" i="9"/>
  <c r="G43" i="9" s="1"/>
  <c r="D137" i="64"/>
  <c r="G137" i="64" s="1"/>
  <c r="G188" i="64" s="1"/>
  <c r="G190" i="64" s="1"/>
  <c r="R48" i="18"/>
  <c r="Q48" i="18"/>
  <c r="R50" i="18" s="1"/>
  <c r="K90" i="64"/>
  <c r="K92" i="64" s="1"/>
  <c r="L90" i="64"/>
  <c r="L92" i="64" s="1"/>
  <c r="M92" i="64"/>
  <c r="I281" i="64"/>
  <c r="I287" i="64" s="1"/>
  <c r="R52" i="18" l="1"/>
  <c r="D188" i="64"/>
  <c r="C197" i="64" s="1"/>
  <c r="E25" i="9"/>
  <c r="H281" i="64" l="1"/>
  <c r="H287" i="64" s="1"/>
  <c r="D190" i="64"/>
  <c r="C204" i="64"/>
  <c r="E197" i="64"/>
  <c r="E204" i="64" s="1"/>
  <c r="D204" i="64" l="1"/>
</calcChain>
</file>

<file path=xl/comments1.xml><?xml version="1.0" encoding="utf-8"?>
<comments xmlns="http://schemas.openxmlformats.org/spreadsheetml/2006/main">
  <authors>
    <author>contabilidad</author>
  </authors>
  <commentList>
    <comment ref="K34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no laboraron porque solo picaron carne.</t>
        </r>
      </text>
    </comment>
  </commentList>
</comments>
</file>

<file path=xl/comments2.xml><?xml version="1.0" encoding="utf-8"?>
<comments xmlns="http://schemas.openxmlformats.org/spreadsheetml/2006/main">
  <authors>
    <author>contabilidad</author>
  </authors>
  <commentList>
    <comment ref="K35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no se laboro por falta de gas.</t>
        </r>
      </text>
    </comment>
  </commentList>
</comments>
</file>

<file path=xl/comments3.xml><?xml version="1.0" encoding="utf-8"?>
<comments xmlns="http://schemas.openxmlformats.org/spreadsheetml/2006/main">
  <authors>
    <author>contabilidad</author>
  </authors>
  <commentList>
    <comment ref="K34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no laboraron</t>
        </r>
      </text>
    </comment>
  </commentList>
</comments>
</file>

<file path=xl/comments4.xml><?xml version="1.0" encoding="utf-8"?>
<comments xmlns="http://schemas.openxmlformats.org/spreadsheetml/2006/main">
  <authors>
    <author>contabilidad</author>
  </authors>
  <commentList>
    <comment ref="K34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no laborable</t>
        </r>
      </text>
    </comment>
    <comment ref="K35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no laborable</t>
        </r>
      </text>
    </comment>
  </commentList>
</comments>
</file>

<file path=xl/sharedStrings.xml><?xml version="1.0" encoding="utf-8"?>
<sst xmlns="http://schemas.openxmlformats.org/spreadsheetml/2006/main" count="1902" uniqueCount="256">
  <si>
    <t>DIAS</t>
  </si>
  <si>
    <t>TOTAL</t>
  </si>
  <si>
    <t>AZUA</t>
  </si>
  <si>
    <t>BARAHONA</t>
  </si>
  <si>
    <t>DAJABON</t>
  </si>
  <si>
    <t>BAYAGUANA</t>
  </si>
  <si>
    <t>EL SEYBO</t>
  </si>
  <si>
    <t>CRISTO REY</t>
  </si>
  <si>
    <t>CONSTANZA</t>
  </si>
  <si>
    <t>LA ROMANA</t>
  </si>
  <si>
    <t>ELIAS PIÑA</t>
  </si>
  <si>
    <t>LA VILLA</t>
  </si>
  <si>
    <t>LA VEGA</t>
  </si>
  <si>
    <t>LAS CAOBAS</t>
  </si>
  <si>
    <t>LOS ALCARRIZOS</t>
  </si>
  <si>
    <t>MONTE PLATA</t>
  </si>
  <si>
    <t>MONTECRISTI</t>
  </si>
  <si>
    <t>NAGUA</t>
  </si>
  <si>
    <t>NAVARRETE</t>
  </si>
  <si>
    <t>NEYBA</t>
  </si>
  <si>
    <t>PEDERNALES</t>
  </si>
  <si>
    <t>PUERTO PLATA</t>
  </si>
  <si>
    <t>QUISQUEYA</t>
  </si>
  <si>
    <t>SABANA GRANDE DE BOYA</t>
  </si>
  <si>
    <t>SAMANA</t>
  </si>
  <si>
    <t>SAN CRISTOBAL</t>
  </si>
  <si>
    <t>SAN JUAN DE LA MAGUANA</t>
  </si>
  <si>
    <t>SANTIAGO RODRIGUEZ</t>
  </si>
  <si>
    <t>SAN FRANCISCO</t>
  </si>
  <si>
    <t>CREDITO</t>
  </si>
  <si>
    <t>DONADAS</t>
  </si>
  <si>
    <t>VENDIDAS</t>
  </si>
  <si>
    <t>SANTIAGO PEKIN</t>
  </si>
  <si>
    <t>SANTIAGO PLATANITO</t>
  </si>
  <si>
    <t>SAN FRANCISCO DE MACORIS</t>
  </si>
  <si>
    <t>SAN PEDRO</t>
  </si>
  <si>
    <t>MANZANILLO</t>
  </si>
  <si>
    <t>MAO VALVERDE</t>
  </si>
  <si>
    <t xml:space="preserve"> </t>
  </si>
  <si>
    <t>VILLA GONZALEZ</t>
  </si>
  <si>
    <t>BOCA DE CACHON</t>
  </si>
  <si>
    <t>BOCA CACHON</t>
  </si>
  <si>
    <t>CRISTOBAL</t>
  </si>
  <si>
    <t>BATEY 6</t>
  </si>
  <si>
    <t>BETEY 6</t>
  </si>
  <si>
    <t>COMEDORES ECONÓMICOS DEL ESTADO</t>
  </si>
  <si>
    <t>Santo Domingo Este, República Dominicana</t>
  </si>
  <si>
    <t>AÑO DEL FOMENTO DE LAS EXPORTACIONES</t>
  </si>
  <si>
    <t>COMEDOR DE:</t>
  </si>
  <si>
    <t>FECHA:</t>
  </si>
  <si>
    <t>VENTAS</t>
  </si>
  <si>
    <t xml:space="preserve">RACIONES </t>
  </si>
  <si>
    <t>CONTADO A 10</t>
  </si>
  <si>
    <t>EDITORAMA A 25</t>
  </si>
  <si>
    <t>AYUNT. SAN LUIS</t>
  </si>
  <si>
    <t>AYUNTAMIENTO A 50</t>
  </si>
  <si>
    <t>OBRAS PUBLICAS A 65</t>
  </si>
  <si>
    <t>PARTICULARES</t>
  </si>
  <si>
    <t xml:space="preserve">TOTAL GENERAL </t>
  </si>
  <si>
    <t>ADMINISTRATIVO 1</t>
  </si>
  <si>
    <t>TICKETS desde</t>
  </si>
  <si>
    <t>ADMINISTRATIVO 2</t>
  </si>
  <si>
    <t>PEKIN</t>
  </si>
  <si>
    <t>BOYA, SABANA GRANDE</t>
  </si>
  <si>
    <t>OCOA, SAN JOSE</t>
  </si>
  <si>
    <t>LOS MINA</t>
  </si>
  <si>
    <t>TOTAL RACIONES PRODUCIDAS</t>
  </si>
  <si>
    <r>
      <t xml:space="preserve">TODOS LOS </t>
    </r>
    <r>
      <rPr>
        <b/>
        <sz val="20"/>
        <rFont val="Calibri"/>
        <family val="2"/>
        <scheme val="minor"/>
      </rPr>
      <t>COMEDORES</t>
    </r>
    <r>
      <rPr>
        <b/>
        <sz val="16"/>
        <color rgb="FFFF0000"/>
        <rFont val="Calibri"/>
        <family val="2"/>
        <scheme val="minor"/>
      </rPr>
      <t xml:space="preserve"> FIJOS</t>
    </r>
  </si>
  <si>
    <r>
      <t xml:space="preserve">PRODUCCION TOTAL POR </t>
    </r>
    <r>
      <rPr>
        <b/>
        <sz val="18"/>
        <rFont val="Calibri"/>
        <family val="2"/>
        <scheme val="minor"/>
      </rPr>
      <t>COMEDORES</t>
    </r>
    <r>
      <rPr>
        <b/>
        <sz val="16"/>
        <color rgb="FFFF0000"/>
        <rFont val="Calibri"/>
        <family val="2"/>
        <scheme val="minor"/>
      </rPr>
      <t xml:space="preserve"> FIJOS</t>
    </r>
  </si>
  <si>
    <t>VALVERDE MAO</t>
  </si>
  <si>
    <t>SAN JOSE DE OCOA</t>
  </si>
  <si>
    <t>PLATANITOS</t>
  </si>
  <si>
    <t>SAN PEDRO DE MACORIS</t>
  </si>
  <si>
    <t>CORAASAN</t>
  </si>
  <si>
    <t>15</t>
  </si>
  <si>
    <t>22</t>
  </si>
  <si>
    <t>CAASD</t>
  </si>
  <si>
    <t>FISCALIA</t>
  </si>
  <si>
    <t>OMSA</t>
  </si>
  <si>
    <t>AYUNTAMIENTO</t>
  </si>
  <si>
    <t>EDEESTE</t>
  </si>
  <si>
    <t>DESAYUNO</t>
  </si>
  <si>
    <t xml:space="preserve">CENA </t>
  </si>
  <si>
    <t>CENA</t>
  </si>
  <si>
    <t>VARIOS A 25</t>
  </si>
  <si>
    <t>1</t>
  </si>
  <si>
    <t>2</t>
  </si>
  <si>
    <t>3</t>
  </si>
  <si>
    <t xml:space="preserve">                                             </t>
  </si>
  <si>
    <t>COSTO UNITARIO</t>
  </si>
  <si>
    <t>DEPARTAMENTO DE CONTABILIDAD</t>
  </si>
  <si>
    <t>COMEDOR</t>
  </si>
  <si>
    <t>CONTADOS</t>
  </si>
  <si>
    <t>CREDITOS</t>
  </si>
  <si>
    <t>ALMUERZO</t>
  </si>
  <si>
    <t>MONTO TOTAL RD$</t>
  </si>
  <si>
    <t>COCINAS MOVILES</t>
  </si>
  <si>
    <t>COCINA MOVIL OBRAS PUBLICAS</t>
  </si>
  <si>
    <t>TOTAL COCINAS MOVILES</t>
  </si>
  <si>
    <t>EXPENDIOS</t>
  </si>
  <si>
    <t>BONAO</t>
  </si>
  <si>
    <t>MOCA</t>
  </si>
  <si>
    <t>OTROS EXPENDIOS</t>
  </si>
  <si>
    <t>TOTAL EXPENDIOS</t>
  </si>
  <si>
    <t>COMEDORES PRODUCTORES</t>
  </si>
  <si>
    <t>COCINA ADMINISTRATIVA 1</t>
  </si>
  <si>
    <t>COCINA ADMINISTRATIVA 2</t>
  </si>
  <si>
    <t>VILLA OLIMPICA</t>
  </si>
  <si>
    <t xml:space="preserve">LAS CAOBAS </t>
  </si>
  <si>
    <t>BOYA, SAB.GDE.</t>
  </si>
  <si>
    <t>CRUZ DE MANZANILLO</t>
  </si>
  <si>
    <t>LOS PLATANITOS</t>
  </si>
  <si>
    <t>MAO,VALVERDE</t>
  </si>
  <si>
    <t>PEKIN,SANTIAGO</t>
  </si>
  <si>
    <t>SAN FCO. DE MAC.</t>
  </si>
  <si>
    <t>SAN J. DE LA MAG.</t>
  </si>
  <si>
    <t>SAN PEDRO DE MAC.</t>
  </si>
  <si>
    <t>SANTIAGO RGUEZ.</t>
  </si>
  <si>
    <t xml:space="preserve">VILLA GONZALEZ </t>
  </si>
  <si>
    <t>TOTAL COMEDORES PRODUCTORES</t>
  </si>
  <si>
    <t>Enc. Div. Contabilidad</t>
  </si>
  <si>
    <t>VALOR POR RACION</t>
  </si>
  <si>
    <t xml:space="preserve">COCINA MOVIL </t>
  </si>
  <si>
    <t>COMEDORES PRODUCTORES FIJOS</t>
  </si>
  <si>
    <t>TOTAL GENERAL</t>
  </si>
  <si>
    <t>CALCULO RACIONES COCIDAS</t>
  </si>
  <si>
    <t>RENGLON</t>
  </si>
  <si>
    <t>CANTIDAD</t>
  </si>
  <si>
    <t>COSTO RACION</t>
  </si>
  <si>
    <t>TOTAL RD$</t>
  </si>
  <si>
    <t xml:space="preserve">RACIONES COCIDAS COMEDORES </t>
  </si>
  <si>
    <r>
      <t xml:space="preserve">RACIONES COCIDAS </t>
    </r>
    <r>
      <rPr>
        <sz val="12"/>
        <color rgb="FFFF0000"/>
        <rFont val="Calibri"/>
        <family val="2"/>
        <scheme val="minor"/>
      </rPr>
      <t>EXPENDIOS</t>
    </r>
  </si>
  <si>
    <t>OBRAS PUBLICAS</t>
  </si>
  <si>
    <r>
      <t xml:space="preserve">DONACIONES  COCINA </t>
    </r>
    <r>
      <rPr>
        <sz val="12"/>
        <color rgb="FFFF0000"/>
        <rFont val="Calibri"/>
        <family val="2"/>
        <scheme val="minor"/>
      </rPr>
      <t>MOVILES</t>
    </r>
  </si>
  <si>
    <t>CALCULO RACIONES CRUDAS</t>
  </si>
  <si>
    <t>INSTITUCIONES SIN FINES DE LUCRO</t>
  </si>
  <si>
    <t>INSTITUCIONES GUBERNAMENTALES</t>
  </si>
  <si>
    <t xml:space="preserve">ACUERDOS INSTITUCIONALES </t>
  </si>
  <si>
    <t>NOVENARIOS</t>
  </si>
  <si>
    <t>CUERPOS  CATRENSES</t>
  </si>
  <si>
    <t>OPERATIVOS</t>
  </si>
  <si>
    <t>ALIMENTACION SUPERVISADA</t>
  </si>
  <si>
    <t xml:space="preserve">PRENSA </t>
  </si>
  <si>
    <t>CASO ESPECIAL</t>
  </si>
  <si>
    <t xml:space="preserve">EMPLEADOS DE LOS COMEDORES </t>
  </si>
  <si>
    <t>MILITARES DE LOS COMEDORES</t>
  </si>
  <si>
    <t xml:space="preserve">REPUBLICA DOMINICANA </t>
  </si>
  <si>
    <t>RESUMEN DE LA PRODUCCION RACIONES CRUDAS Y COCIDAS</t>
  </si>
  <si>
    <t>COMEDORES ECONOMICOS DEL ESTADO</t>
  </si>
  <si>
    <t>VALORES EN RD$</t>
  </si>
  <si>
    <t>No.</t>
  </si>
  <si>
    <t>PRODUCTOS</t>
  </si>
  <si>
    <t>COMPONENTES</t>
  </si>
  <si>
    <t xml:space="preserve">EJECUTADO EN RACIONES </t>
  </si>
  <si>
    <t>EJECUTADO EN RD$</t>
  </si>
  <si>
    <t>Comedores Fijos (Venta al Público)</t>
  </si>
  <si>
    <t xml:space="preserve">Comedores fijos </t>
  </si>
  <si>
    <t>Expendios</t>
  </si>
  <si>
    <t xml:space="preserve">Cocina Móvil </t>
  </si>
  <si>
    <t>Venta al Publico</t>
  </si>
  <si>
    <t>Donadas</t>
  </si>
  <si>
    <t xml:space="preserve">TOTAL DE RACIONES COCINAS </t>
  </si>
  <si>
    <t>COCIDAS</t>
  </si>
  <si>
    <t>Convenios Interinstitucionales</t>
  </si>
  <si>
    <t>Acuerdos Interinstitucionales</t>
  </si>
  <si>
    <t>Cuerpos Castrenses</t>
  </si>
  <si>
    <t>Instituciones Gubernamentales</t>
  </si>
  <si>
    <t>Programas de Donaciones</t>
  </si>
  <si>
    <t>Instituciones sin fines de lucro</t>
  </si>
  <si>
    <t xml:space="preserve">Juntas de vecinos </t>
  </si>
  <si>
    <t>Novenarios</t>
  </si>
  <si>
    <t>Particulares</t>
  </si>
  <si>
    <t>Prensa</t>
  </si>
  <si>
    <t>Operativos</t>
  </si>
  <si>
    <t>Casos Especiales</t>
  </si>
  <si>
    <t xml:space="preserve">Donaciones A Emlpeados </t>
  </si>
  <si>
    <t xml:space="preserve">Empleados </t>
  </si>
  <si>
    <t>Militares</t>
  </si>
  <si>
    <t xml:space="preserve">TOTAL RACIONES </t>
  </si>
  <si>
    <t>CRUDAS</t>
  </si>
  <si>
    <t>|</t>
  </si>
  <si>
    <t>28</t>
  </si>
  <si>
    <t>ALMUERZO SUB-TOTAL DONADAS</t>
  </si>
  <si>
    <t>ALMUERZO TOTAL CONTADO</t>
  </si>
  <si>
    <t>ALMUERZO TOTAL CREDITO</t>
  </si>
  <si>
    <t>TOTAL DONADAS</t>
  </si>
  <si>
    <t xml:space="preserve">ALMUERZO EMPLEADOS </t>
  </si>
  <si>
    <t>ALMUERZO PARTICULARES</t>
  </si>
  <si>
    <t>ALMUERZO OTROS</t>
  </si>
  <si>
    <t>DONADAS EMPLEADOS</t>
  </si>
  <si>
    <t>DONADAS PARTICULARES</t>
  </si>
  <si>
    <t>DONADAS OTROS</t>
  </si>
  <si>
    <t xml:space="preserve">TOTAL COCINAS MOVILES </t>
  </si>
  <si>
    <t xml:space="preserve">DONADAS  </t>
  </si>
  <si>
    <t>COCINAS MOVILES 1-40</t>
  </si>
  <si>
    <t>ALMUERZO DONADO</t>
  </si>
  <si>
    <t>DESAYUNO DONADO</t>
  </si>
  <si>
    <t>CENA DONADA</t>
  </si>
  <si>
    <t>PRECIO DESAYUNO</t>
  </si>
  <si>
    <t>PRECIO ALMUERZO</t>
  </si>
  <si>
    <t>PRECIO CENA</t>
  </si>
  <si>
    <t>Lcda. Rut Betania Lendof</t>
  </si>
  <si>
    <t>ENERGIA Y MINA</t>
  </si>
  <si>
    <t>VILLA LIBERACION</t>
  </si>
  <si>
    <t>TOTAL OBRAS P.</t>
  </si>
  <si>
    <t>VENTAS OBRAS PUBLICAS</t>
  </si>
  <si>
    <t>BOHECHIO</t>
  </si>
  <si>
    <t>COMITÉ OLIMPICO</t>
  </si>
  <si>
    <t>FEDERACION DOMINICANA DE LEVANTAMIENTO PESO</t>
  </si>
  <si>
    <t>OBRAS PUBLICA  A 10</t>
  </si>
  <si>
    <t>FISCALIA D.N</t>
  </si>
  <si>
    <t>INAIPI</t>
  </si>
  <si>
    <t>LICEO CASSD</t>
  </si>
  <si>
    <t>MACAPI</t>
  </si>
  <si>
    <t>GALVAN</t>
  </si>
  <si>
    <t>POSTRER RIO</t>
  </si>
  <si>
    <t>EDITORAMA</t>
  </si>
  <si>
    <t>23</t>
  </si>
  <si>
    <t>MANUEL CASTILLO</t>
  </si>
  <si>
    <t>VICTORIA</t>
  </si>
  <si>
    <t>CARCEL LA VICTORIA</t>
  </si>
  <si>
    <t>AYUNTAMIENTO STO DGO ESTE</t>
  </si>
  <si>
    <t>ALCALDIA</t>
  </si>
  <si>
    <t>ETICA GUBER.</t>
  </si>
  <si>
    <t>MINISTERIO DE DEPORTE</t>
  </si>
  <si>
    <t>ENRRIQUILLO</t>
  </si>
  <si>
    <t>ARROYO CANO</t>
  </si>
  <si>
    <t>PARAISO</t>
  </si>
  <si>
    <t>EL YAQUE</t>
  </si>
  <si>
    <t>ENRIQUILLO</t>
  </si>
  <si>
    <t>CONTADO A 65</t>
  </si>
  <si>
    <t>INAGUJA</t>
  </si>
  <si>
    <t>CARCEL PUBLICA</t>
  </si>
  <si>
    <t>ASOC.DE JUDO BARAHONA</t>
  </si>
  <si>
    <t xml:space="preserve">           </t>
  </si>
  <si>
    <t>20</t>
  </si>
  <si>
    <t>AYUNT.STO. DGO ESTE</t>
  </si>
  <si>
    <t>HATO MAYOR</t>
  </si>
  <si>
    <t>IDOPRIL</t>
  </si>
  <si>
    <t>ALCALDIA.STO.DGO.ESTE</t>
  </si>
  <si>
    <t>ALCALDIA STO.ESTE</t>
  </si>
  <si>
    <t>LOTERIA NACIONAL</t>
  </si>
  <si>
    <t>JUNTA DE AVIACION</t>
  </si>
  <si>
    <t>ENEGIA I MINAS</t>
  </si>
  <si>
    <t>EMPLEADOS LOTERIA NACIONAL</t>
  </si>
  <si>
    <t xml:space="preserve">UNIVERSIDAD </t>
  </si>
  <si>
    <t>UNIRENMO</t>
  </si>
  <si>
    <t>COMITÉ OLIM.YUDO</t>
  </si>
  <si>
    <t>UASD</t>
  </si>
  <si>
    <t>SEPTIEMBRE</t>
  </si>
  <si>
    <t xml:space="preserve">   </t>
  </si>
  <si>
    <t>septiembre</t>
  </si>
  <si>
    <t>PRODUCCION DE RACIONES COCIDAS MES DE SEPTIEMBRE DEL 2022</t>
  </si>
  <si>
    <t>PRODUCCION DE RACIONES COCIDAS MES DE SEPTIEMBRE 2022</t>
  </si>
  <si>
    <t>MES DE SEPTIEMBRE2022</t>
  </si>
  <si>
    <t>HIGUEY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</si>
</sst>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_(* #,##0_);_(* \(#,##0\);_(* &quot;-&quot;??_);_(@_)"/>
    <numFmt numFmtId="168" formatCode="0.0"/>
  </numFmts>
  <fonts count="58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Garamond"/>
      <family val="1"/>
    </font>
    <font>
      <b/>
      <sz val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24" fillId="0" borderId="0"/>
  </cellStyleXfs>
  <cellXfs count="674">
    <xf numFmtId="0" fontId="0" fillId="0" borderId="0" xfId="0"/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" fontId="9" fillId="2" borderId="0" xfId="0" applyNumberFormat="1" applyFont="1" applyFill="1" applyBorder="1" applyAlignment="1" applyProtection="1">
      <alignment horizontal="center"/>
    </xf>
    <xf numFmtId="4" fontId="9" fillId="2" borderId="0" xfId="0" applyNumberFormat="1" applyFont="1" applyFill="1" applyBorder="1" applyAlignment="1" applyProtection="1">
      <alignment horizontal="center"/>
      <protection hidden="1"/>
    </xf>
    <xf numFmtId="3" fontId="12" fillId="2" borderId="0" xfId="0" applyNumberFormat="1" applyFont="1" applyFill="1" applyBorder="1" applyAlignment="1" applyProtection="1">
      <alignment horizontal="center"/>
    </xf>
    <xf numFmtId="4" fontId="12" fillId="2" borderId="0" xfId="0" applyNumberFormat="1" applyFont="1" applyFill="1" applyBorder="1" applyAlignment="1" applyProtection="1">
      <alignment horizontal="center"/>
      <protection hidden="1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49" fontId="10" fillId="2" borderId="1" xfId="0" applyNumberFormat="1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3" fontId="9" fillId="2" borderId="0" xfId="0" applyNumberFormat="1" applyFont="1" applyFill="1" applyBorder="1" applyAlignment="1" applyProtection="1"/>
    <xf numFmtId="49" fontId="13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11" xfId="0" applyFont="1" applyBorder="1" applyProtection="1">
      <protection locked="0"/>
    </xf>
    <xf numFmtId="49" fontId="9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9" fillId="0" borderId="14" xfId="0" applyNumberFormat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protection locked="0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8" fillId="0" borderId="0" xfId="0" applyFont="1" applyFill="1" applyAlignment="1"/>
    <xf numFmtId="0" fontId="18" fillId="0" borderId="11" xfId="0" applyFont="1" applyBorder="1" applyProtection="1">
      <protection locked="0"/>
    </xf>
    <xf numFmtId="0" fontId="18" fillId="0" borderId="11" xfId="0" applyFont="1" applyBorder="1" applyAlignment="1" applyProtection="1">
      <alignment vertical="center"/>
      <protection locked="0"/>
    </xf>
    <xf numFmtId="49" fontId="9" fillId="2" borderId="0" xfId="0" applyNumberFormat="1" applyFont="1" applyFill="1" applyBorder="1" applyAlignment="1" applyProtection="1">
      <alignment horizontal="center"/>
      <protection locked="0"/>
    </xf>
    <xf numFmtId="165" fontId="9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alignment horizontal="center"/>
      <protection locked="0"/>
    </xf>
    <xf numFmtId="164" fontId="2" fillId="0" borderId="0" xfId="1" applyFont="1"/>
    <xf numFmtId="3" fontId="0" fillId="0" borderId="0" xfId="0" applyNumberFormat="1"/>
    <xf numFmtId="3" fontId="0" fillId="0" borderId="0" xfId="0" applyNumberFormat="1" applyAlignment="1">
      <alignment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43" fontId="3" fillId="0" borderId="18" xfId="1" applyNumberFormat="1" applyFont="1" applyBorder="1" applyAlignment="1" applyProtection="1">
      <alignment vertical="center"/>
      <protection locked="0"/>
    </xf>
    <xf numFmtId="0" fontId="25" fillId="0" borderId="18" xfId="2" applyFont="1" applyBorder="1" applyAlignment="1" applyProtection="1">
      <protection locked="0"/>
    </xf>
    <xf numFmtId="0" fontId="8" fillId="0" borderId="18" xfId="2" applyFont="1" applyBorder="1" applyAlignment="1" applyProtection="1">
      <protection locked="0"/>
    </xf>
    <xf numFmtId="0" fontId="8" fillId="0" borderId="29" xfId="0" applyFont="1" applyFill="1" applyBorder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8" fillId="0" borderId="32" xfId="0" applyFont="1" applyFill="1" applyBorder="1" applyProtection="1">
      <protection locked="0"/>
    </xf>
    <xf numFmtId="37" fontId="8" fillId="10" borderId="33" xfId="1" applyNumberFormat="1" applyFont="1" applyFill="1" applyBorder="1" applyAlignment="1" applyProtection="1">
      <alignment horizontal="center"/>
      <protection hidden="1"/>
    </xf>
    <xf numFmtId="2" fontId="9" fillId="10" borderId="1" xfId="0" applyNumberFormat="1" applyFont="1" applyFill="1" applyBorder="1" applyAlignment="1" applyProtection="1">
      <alignment horizontal="center"/>
      <protection locked="0"/>
    </xf>
    <xf numFmtId="37" fontId="8" fillId="0" borderId="5" xfId="1" applyNumberFormat="1" applyFont="1" applyFill="1" applyBorder="1" applyAlignment="1" applyProtection="1">
      <alignment horizontal="center"/>
      <protection hidden="1"/>
    </xf>
    <xf numFmtId="4" fontId="9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9" fillId="0" borderId="0" xfId="0" applyFont="1" applyFill="1" applyBorder="1" applyProtection="1">
      <protection locked="0"/>
    </xf>
    <xf numFmtId="0" fontId="31" fillId="0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4" fontId="2" fillId="0" borderId="0" xfId="0" applyNumberFormat="1" applyFont="1"/>
    <xf numFmtId="39" fontId="8" fillId="0" borderId="1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37" fontId="8" fillId="10" borderId="1" xfId="1" applyNumberFormat="1" applyFont="1" applyFill="1" applyBorder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center"/>
      <protection locked="0"/>
    </xf>
    <xf numFmtId="0" fontId="32" fillId="14" borderId="0" xfId="0" applyFont="1" applyFill="1" applyBorder="1" applyProtection="1">
      <protection locked="0"/>
    </xf>
    <xf numFmtId="0" fontId="9" fillId="14" borderId="0" xfId="0" applyFont="1" applyFill="1" applyBorder="1" applyAlignment="1" applyProtection="1">
      <alignment horizontal="center"/>
      <protection locked="0"/>
    </xf>
    <xf numFmtId="0" fontId="34" fillId="16" borderId="0" xfId="0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/>
    <xf numFmtId="0" fontId="9" fillId="16" borderId="13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/>
    </xf>
    <xf numFmtId="0" fontId="9" fillId="16" borderId="36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left" vertical="center"/>
    </xf>
    <xf numFmtId="3" fontId="35" fillId="0" borderId="2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/>
    </xf>
    <xf numFmtId="0" fontId="35" fillId="0" borderId="26" xfId="0" applyFont="1" applyFill="1" applyBorder="1" applyAlignment="1">
      <alignment horizontal="left" vertical="center" wrapText="1"/>
    </xf>
    <xf numFmtId="3" fontId="35" fillId="0" borderId="1" xfId="0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left" vertical="center"/>
    </xf>
    <xf numFmtId="0" fontId="36" fillId="0" borderId="26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3" fontId="35" fillId="0" borderId="39" xfId="0" applyNumberFormat="1" applyFont="1" applyFill="1" applyBorder="1" applyAlignment="1">
      <alignment horizontal="center" vertical="center"/>
    </xf>
    <xf numFmtId="4" fontId="35" fillId="0" borderId="39" xfId="0" applyNumberFormat="1" applyFont="1" applyFill="1" applyBorder="1" applyAlignment="1">
      <alignment horizontal="center"/>
    </xf>
    <xf numFmtId="0" fontId="35" fillId="0" borderId="0" xfId="0" applyFont="1"/>
    <xf numFmtId="0" fontId="3" fillId="16" borderId="1" xfId="0" applyFont="1" applyFill="1" applyBorder="1" applyAlignment="1">
      <alignment horizontal="center" vertical="center"/>
    </xf>
    <xf numFmtId="3" fontId="3" fillId="16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protection locked="0"/>
    </xf>
    <xf numFmtId="3" fontId="3" fillId="0" borderId="0" xfId="0" applyNumberFormat="1" applyFont="1" applyFill="1" applyBorder="1"/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center"/>
      <protection locked="0"/>
    </xf>
    <xf numFmtId="4" fontId="0" fillId="0" borderId="0" xfId="0" applyNumberFormat="1" applyFill="1" applyAlignment="1">
      <alignment vertical="center"/>
    </xf>
    <xf numFmtId="0" fontId="3" fillId="16" borderId="42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/>
    </xf>
    <xf numFmtId="3" fontId="35" fillId="0" borderId="24" xfId="0" applyNumberFormat="1" applyFont="1" applyBorder="1" applyAlignment="1">
      <alignment horizontal="center"/>
    </xf>
    <xf numFmtId="4" fontId="35" fillId="0" borderId="24" xfId="0" applyNumberFormat="1" applyFont="1" applyBorder="1" applyAlignment="1">
      <alignment horizontal="center"/>
    </xf>
    <xf numFmtId="0" fontId="35" fillId="0" borderId="26" xfId="0" applyFont="1" applyFill="1" applyBorder="1" applyAlignment="1">
      <alignment horizontal="left" wrapText="1"/>
    </xf>
    <xf numFmtId="3" fontId="35" fillId="0" borderId="1" xfId="0" applyNumberFormat="1" applyFont="1" applyBorder="1" applyAlignment="1">
      <alignment horizontal="center"/>
    </xf>
    <xf numFmtId="4" fontId="35" fillId="0" borderId="1" xfId="0" applyNumberFormat="1" applyFont="1" applyBorder="1" applyAlignment="1">
      <alignment horizontal="center"/>
    </xf>
    <xf numFmtId="0" fontId="35" fillId="0" borderId="26" xfId="0" applyFont="1" applyFill="1" applyBorder="1" applyAlignment="1">
      <alignment horizontal="left"/>
    </xf>
    <xf numFmtId="0" fontId="35" fillId="0" borderId="0" xfId="0" applyFont="1" applyProtection="1">
      <protection locked="0"/>
    </xf>
    <xf numFmtId="3" fontId="9" fillId="16" borderId="1" xfId="0" applyNumberFormat="1" applyFont="1" applyFill="1" applyBorder="1" applyAlignment="1">
      <alignment horizontal="center"/>
    </xf>
    <xf numFmtId="43" fontId="0" fillId="0" borderId="0" xfId="1" applyNumberFormat="1" applyFont="1"/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42" fillId="0" borderId="0" xfId="0" applyFont="1" applyAlignment="1"/>
    <xf numFmtId="0" fontId="43" fillId="0" borderId="0" xfId="0" applyFont="1" applyAlignment="1"/>
    <xf numFmtId="0" fontId="43" fillId="0" borderId="0" xfId="0" applyFont="1" applyAlignment="1">
      <alignment horizontal="center"/>
    </xf>
    <xf numFmtId="17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4" fontId="9" fillId="0" borderId="0" xfId="0" applyNumberFormat="1" applyFont="1" applyProtection="1">
      <protection locked="0"/>
    </xf>
    <xf numFmtId="165" fontId="0" fillId="0" borderId="0" xfId="0" applyNumberFormat="1"/>
    <xf numFmtId="3" fontId="21" fillId="0" borderId="0" xfId="0" applyNumberFormat="1" applyFont="1" applyBorder="1" applyAlignment="1">
      <alignment horizontal="center"/>
    </xf>
    <xf numFmtId="37" fontId="9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3" borderId="13" xfId="0" applyFont="1" applyFill="1" applyBorder="1" applyAlignment="1" applyProtection="1">
      <alignment horizontal="center" wrapText="1"/>
      <protection locked="0"/>
    </xf>
    <xf numFmtId="0" fontId="22" fillId="18" borderId="7" xfId="0" applyFont="1" applyFill="1" applyBorder="1" applyAlignment="1" applyProtection="1">
      <alignment horizontal="center" wrapText="1"/>
      <protection locked="0"/>
    </xf>
    <xf numFmtId="0" fontId="23" fillId="12" borderId="7" xfId="0" applyFont="1" applyFill="1" applyBorder="1" applyAlignment="1" applyProtection="1">
      <alignment horizontal="center" wrapText="1"/>
      <protection locked="0"/>
    </xf>
    <xf numFmtId="0" fontId="23" fillId="12" borderId="20" xfId="0" applyFont="1" applyFill="1" applyBorder="1" applyAlignment="1" applyProtection="1">
      <alignment horizontal="center" wrapText="1"/>
      <protection locked="0"/>
    </xf>
    <xf numFmtId="3" fontId="3" fillId="4" borderId="6" xfId="0" applyNumberFormat="1" applyFont="1" applyFill="1" applyBorder="1" applyAlignment="1" applyProtection="1">
      <alignment horizontal="center"/>
    </xf>
    <xf numFmtId="3" fontId="3" fillId="4" borderId="6" xfId="0" applyNumberFormat="1" applyFont="1" applyFill="1" applyBorder="1" applyAlignment="1" applyProtection="1">
      <alignment horizontal="center" wrapText="1"/>
    </xf>
    <xf numFmtId="0" fontId="13" fillId="17" borderId="11" xfId="0" applyFont="1" applyFill="1" applyBorder="1" applyAlignment="1" applyProtection="1">
      <alignment horizontal="center" vertical="center" wrapText="1"/>
      <protection locked="0"/>
    </xf>
    <xf numFmtId="0" fontId="13" fillId="17" borderId="2" xfId="0" applyFont="1" applyFill="1" applyBorder="1" applyAlignment="1" applyProtection="1">
      <alignment horizontal="center" wrapText="1"/>
      <protection locked="0"/>
    </xf>
    <xf numFmtId="0" fontId="13" fillId="17" borderId="11" xfId="0" applyFont="1" applyFill="1" applyBorder="1" applyAlignment="1" applyProtection="1">
      <alignment horizontal="center" wrapText="1"/>
      <protection locked="0"/>
    </xf>
    <xf numFmtId="0" fontId="13" fillId="17" borderId="2" xfId="0" applyFont="1" applyFill="1" applyBorder="1" applyAlignment="1" applyProtection="1">
      <alignment horizontal="center" vertical="center" wrapText="1"/>
      <protection locked="0"/>
    </xf>
    <xf numFmtId="0" fontId="13" fillId="18" borderId="15" xfId="0" applyFont="1" applyFill="1" applyBorder="1" applyAlignment="1" applyProtection="1">
      <alignment horizontal="center" wrapText="1"/>
      <protection locked="0"/>
    </xf>
    <xf numFmtId="0" fontId="12" fillId="19" borderId="13" xfId="0" applyFont="1" applyFill="1" applyBorder="1" applyAlignment="1" applyProtection="1">
      <alignment horizontal="center" wrapText="1"/>
      <protection locked="0"/>
    </xf>
    <xf numFmtId="0" fontId="13" fillId="19" borderId="15" xfId="0" applyFont="1" applyFill="1" applyBorder="1" applyAlignment="1" applyProtection="1">
      <alignment horizontal="center" wrapText="1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22" fillId="20" borderId="47" xfId="0" applyFont="1" applyFill="1" applyBorder="1" applyAlignment="1" applyProtection="1">
      <alignment horizontal="center" wrapText="1"/>
      <protection locked="0"/>
    </xf>
    <xf numFmtId="3" fontId="23" fillId="20" borderId="12" xfId="0" applyNumberFormat="1" applyFont="1" applyFill="1" applyBorder="1" applyAlignment="1" applyProtection="1">
      <alignment horizontal="center"/>
    </xf>
    <xf numFmtId="3" fontId="9" fillId="20" borderId="12" xfId="0" applyNumberFormat="1" applyFont="1" applyFill="1" applyBorder="1" applyAlignment="1" applyProtection="1">
      <alignment horizontal="center"/>
    </xf>
    <xf numFmtId="0" fontId="22" fillId="11" borderId="7" xfId="0" applyFont="1" applyFill="1" applyBorder="1" applyAlignment="1" applyProtection="1">
      <alignment horizontal="center" wrapText="1"/>
      <protection locked="0"/>
    </xf>
    <xf numFmtId="3" fontId="23" fillId="11" borderId="12" xfId="0" applyNumberFormat="1" applyFont="1" applyFill="1" applyBorder="1" applyAlignment="1" applyProtection="1">
      <alignment horizontal="center"/>
    </xf>
    <xf numFmtId="3" fontId="9" fillId="11" borderId="12" xfId="0" applyNumberFormat="1" applyFont="1" applyFill="1" applyBorder="1" applyAlignment="1" applyProtection="1">
      <alignment horizontal="center"/>
    </xf>
    <xf numFmtId="3" fontId="23" fillId="11" borderId="46" xfId="0" applyNumberFormat="1" applyFont="1" applyFill="1" applyBorder="1" applyAlignment="1" applyProtection="1">
      <alignment horizontal="center"/>
    </xf>
    <xf numFmtId="3" fontId="23" fillId="20" borderId="51" xfId="0" applyNumberFormat="1" applyFont="1" applyFill="1" applyBorder="1" applyAlignment="1" applyProtection="1">
      <alignment horizontal="center"/>
    </xf>
    <xf numFmtId="3" fontId="9" fillId="19" borderId="14" xfId="0" applyNumberFormat="1" applyFont="1" applyFill="1" applyBorder="1" applyAlignment="1" applyProtection="1">
      <alignment horizontal="center"/>
    </xf>
    <xf numFmtId="3" fontId="9" fillId="19" borderId="15" xfId="0" applyNumberFormat="1" applyFont="1" applyFill="1" applyBorder="1" applyAlignment="1" applyProtection="1">
      <alignment horizontal="center"/>
    </xf>
    <xf numFmtId="3" fontId="9" fillId="17" borderId="16" xfId="0" applyNumberFormat="1" applyFont="1" applyFill="1" applyBorder="1" applyAlignment="1" applyProtection="1">
      <alignment horizontal="center"/>
    </xf>
    <xf numFmtId="3" fontId="9" fillId="17" borderId="14" xfId="0" applyNumberFormat="1" applyFont="1" applyFill="1" applyBorder="1" applyAlignment="1" applyProtection="1">
      <alignment horizontal="center"/>
    </xf>
    <xf numFmtId="3" fontId="9" fillId="17" borderId="15" xfId="0" applyNumberFormat="1" applyFont="1" applyFill="1" applyBorder="1" applyAlignment="1" applyProtection="1">
      <alignment horizontal="center"/>
    </xf>
    <xf numFmtId="3" fontId="21" fillId="4" borderId="6" xfId="0" applyNumberFormat="1" applyFont="1" applyFill="1" applyBorder="1" applyAlignment="1">
      <alignment horizontal="center"/>
    </xf>
    <xf numFmtId="3" fontId="23" fillId="4" borderId="17" xfId="0" applyNumberFormat="1" applyFont="1" applyFill="1" applyBorder="1" applyAlignment="1" applyProtection="1">
      <alignment horizontal="center"/>
    </xf>
    <xf numFmtId="3" fontId="9" fillId="4" borderId="17" xfId="0" applyNumberFormat="1" applyFont="1" applyFill="1" applyBorder="1" applyAlignment="1" applyProtection="1">
      <alignment horizontal="center"/>
    </xf>
    <xf numFmtId="3" fontId="9" fillId="4" borderId="12" xfId="0" applyNumberFormat="1" applyFont="1" applyFill="1" applyBorder="1" applyAlignment="1" applyProtection="1">
      <alignment horizontal="center"/>
    </xf>
    <xf numFmtId="3" fontId="47" fillId="12" borderId="29" xfId="0" applyNumberFormat="1" applyFont="1" applyFill="1" applyBorder="1" applyAlignment="1">
      <alignment horizontal="center"/>
    </xf>
    <xf numFmtId="0" fontId="12" fillId="22" borderId="3" xfId="0" applyFont="1" applyFill="1" applyBorder="1" applyAlignment="1" applyProtection="1">
      <alignment horizontal="center"/>
      <protection locked="0"/>
    </xf>
    <xf numFmtId="0" fontId="12" fillId="22" borderId="9" xfId="0" applyFont="1" applyFill="1" applyBorder="1" applyAlignment="1" applyProtection="1">
      <alignment horizontal="center"/>
      <protection locked="0"/>
    </xf>
    <xf numFmtId="0" fontId="12" fillId="22" borderId="0" xfId="0" applyFont="1" applyFill="1" applyBorder="1" applyAlignment="1" applyProtection="1">
      <alignment horizontal="center"/>
      <protection locked="0"/>
    </xf>
    <xf numFmtId="3" fontId="12" fillId="22" borderId="3" xfId="0" applyNumberFormat="1" applyFont="1" applyFill="1" applyBorder="1" applyAlignment="1" applyProtection="1">
      <alignment horizontal="center"/>
      <protection locked="0"/>
    </xf>
    <xf numFmtId="3" fontId="12" fillId="22" borderId="9" xfId="0" applyNumberFormat="1" applyFont="1" applyFill="1" applyBorder="1" applyAlignment="1" applyProtection="1">
      <alignment horizontal="center"/>
      <protection locked="0"/>
    </xf>
    <xf numFmtId="3" fontId="23" fillId="12" borderId="49" xfId="0" applyNumberFormat="1" applyFont="1" applyFill="1" applyBorder="1" applyAlignment="1" applyProtection="1">
      <alignment horizontal="center"/>
    </xf>
    <xf numFmtId="3" fontId="9" fillId="12" borderId="49" xfId="0" applyNumberFormat="1" applyFont="1" applyFill="1" applyBorder="1" applyAlignment="1" applyProtection="1">
      <alignment horizontal="center"/>
    </xf>
    <xf numFmtId="3" fontId="9" fillId="22" borderId="14" xfId="0" applyNumberFormat="1" applyFont="1" applyFill="1" applyBorder="1" applyAlignment="1" applyProtection="1">
      <alignment horizontal="center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3" fontId="2" fillId="0" borderId="0" xfId="0" applyNumberFormat="1" applyFont="1" applyFill="1" applyProtection="1">
      <protection locked="0"/>
    </xf>
    <xf numFmtId="3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hidden="1"/>
    </xf>
    <xf numFmtId="3" fontId="2" fillId="2" borderId="0" xfId="0" applyNumberFormat="1" applyFont="1" applyFill="1" applyBorder="1" applyProtection="1">
      <protection locked="0"/>
    </xf>
    <xf numFmtId="4" fontId="2" fillId="2" borderId="0" xfId="0" applyNumberFormat="1" applyFont="1" applyFill="1" applyBorder="1" applyProtection="1">
      <protection hidden="1"/>
    </xf>
    <xf numFmtId="0" fontId="2" fillId="2" borderId="0" xfId="0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2" borderId="0" xfId="0" applyNumberFormat="1" applyFont="1" applyFill="1" applyBorder="1" applyProtection="1">
      <protection locked="0"/>
    </xf>
    <xf numFmtId="4" fontId="48" fillId="2" borderId="0" xfId="0" applyNumberFormat="1" applyFont="1" applyFill="1" applyBorder="1" applyAlignment="1" applyProtection="1">
      <protection hidden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3" fontId="9" fillId="19" borderId="2" xfId="0" applyNumberFormat="1" applyFont="1" applyFill="1" applyBorder="1" applyAlignment="1" applyProtection="1">
      <alignment horizontal="center"/>
      <protection locked="0"/>
    </xf>
    <xf numFmtId="3" fontId="9" fillId="19" borderId="9" xfId="0" applyNumberFormat="1" applyFont="1" applyFill="1" applyBorder="1" applyAlignment="1" applyProtection="1">
      <alignment horizontal="center"/>
      <protection locked="0"/>
    </xf>
    <xf numFmtId="3" fontId="9" fillId="17" borderId="3" xfId="0" applyNumberFormat="1" applyFont="1" applyFill="1" applyBorder="1" applyAlignment="1" applyProtection="1">
      <alignment horizontal="center"/>
      <protection locked="0"/>
    </xf>
    <xf numFmtId="3" fontId="9" fillId="17" borderId="2" xfId="0" applyNumberFormat="1" applyFont="1" applyFill="1" applyBorder="1" applyAlignment="1" applyProtection="1">
      <alignment horizontal="center"/>
      <protection locked="0"/>
    </xf>
    <xf numFmtId="3" fontId="9" fillId="17" borderId="9" xfId="0" applyNumberFormat="1" applyFont="1" applyFill="1" applyBorder="1" applyAlignment="1" applyProtection="1">
      <alignment horizontal="center"/>
      <protection locked="0"/>
    </xf>
    <xf numFmtId="3" fontId="9" fillId="22" borderId="3" xfId="0" applyNumberFormat="1" applyFont="1" applyFill="1" applyBorder="1" applyAlignment="1" applyProtection="1">
      <alignment horizontal="center"/>
      <protection locked="0"/>
    </xf>
    <xf numFmtId="3" fontId="9" fillId="22" borderId="9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9" fillId="0" borderId="1" xfId="0" applyNumberFormat="1" applyFont="1" applyFill="1" applyBorder="1" applyAlignment="1" applyProtection="1">
      <alignment horizontal="center"/>
      <protection locked="0"/>
    </xf>
    <xf numFmtId="3" fontId="9" fillId="19" borderId="1" xfId="0" applyNumberFormat="1" applyFont="1" applyFill="1" applyBorder="1" applyAlignment="1" applyProtection="1">
      <alignment horizontal="center"/>
      <protection locked="0"/>
    </xf>
    <xf numFmtId="3" fontId="9" fillId="19" borderId="4" xfId="0" applyNumberFormat="1" applyFont="1" applyFill="1" applyBorder="1" applyAlignment="1" applyProtection="1">
      <alignment horizontal="center"/>
      <protection locked="0"/>
    </xf>
    <xf numFmtId="3" fontId="8" fillId="2" borderId="0" xfId="0" applyNumberFormat="1" applyFont="1" applyFill="1" applyBorder="1" applyAlignment="1" applyProtection="1">
      <alignment horizontal="center"/>
      <protection locked="0"/>
    </xf>
    <xf numFmtId="165" fontId="8" fillId="2" borderId="0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65" fontId="23" fillId="2" borderId="0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Protection="1">
      <protection locked="0"/>
    </xf>
    <xf numFmtId="49" fontId="2" fillId="0" borderId="0" xfId="0" applyNumberFormat="1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protection locked="0"/>
    </xf>
    <xf numFmtId="43" fontId="2" fillId="0" borderId="0" xfId="1" applyNumberFormat="1" applyFont="1" applyBorder="1" applyProtection="1">
      <protection locked="0"/>
    </xf>
    <xf numFmtId="37" fontId="49" fillId="0" borderId="0" xfId="1" applyNumberFormat="1" applyFont="1" applyFill="1" applyBorder="1" applyProtection="1">
      <protection hidden="1"/>
    </xf>
    <xf numFmtId="3" fontId="23" fillId="22" borderId="6" xfId="0" applyNumberFormat="1" applyFont="1" applyFill="1" applyBorder="1" applyAlignment="1" applyProtection="1">
      <alignment horizontal="center"/>
      <protection locked="0"/>
    </xf>
    <xf numFmtId="3" fontId="9" fillId="22" borderId="4" xfId="0" applyNumberFormat="1" applyFont="1" applyFill="1" applyBorder="1" applyAlignment="1" applyProtection="1">
      <alignment horizontal="center"/>
      <protection locked="0"/>
    </xf>
    <xf numFmtId="3" fontId="9" fillId="22" borderId="6" xfId="0" applyNumberFormat="1" applyFont="1" applyFill="1" applyBorder="1" applyAlignment="1" applyProtection="1">
      <alignment horizontal="center"/>
      <protection locked="0"/>
    </xf>
    <xf numFmtId="164" fontId="9" fillId="19" borderId="1" xfId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Fill="1" applyBorder="1" applyAlignment="1" applyProtection="1">
      <alignment horizontal="center"/>
      <protection locked="0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center"/>
    </xf>
    <xf numFmtId="0" fontId="2" fillId="19" borderId="0" xfId="0" applyFont="1" applyFill="1"/>
    <xf numFmtId="3" fontId="2" fillId="0" borderId="0" xfId="0" applyNumberFormat="1" applyFont="1" applyBorder="1"/>
    <xf numFmtId="0" fontId="2" fillId="0" borderId="0" xfId="0" applyFont="1" applyBorder="1"/>
    <xf numFmtId="3" fontId="2" fillId="2" borderId="0" xfId="0" applyNumberFormat="1" applyFont="1" applyFill="1" applyBorder="1" applyAlignment="1" applyProtection="1">
      <alignment horizontal="center"/>
      <protection locked="0"/>
    </xf>
    <xf numFmtId="43" fontId="2" fillId="0" borderId="0" xfId="0" applyNumberFormat="1" applyFont="1"/>
    <xf numFmtId="3" fontId="2" fillId="22" borderId="6" xfId="0" applyNumberFormat="1" applyFont="1" applyFill="1" applyBorder="1"/>
    <xf numFmtId="0" fontId="12" fillId="21" borderId="44" xfId="0" applyFont="1" applyFill="1" applyBorder="1" applyAlignment="1" applyProtection="1">
      <alignment horizontal="center" wrapText="1"/>
      <protection locked="0"/>
    </xf>
    <xf numFmtId="3" fontId="12" fillId="21" borderId="28" xfId="0" applyNumberFormat="1" applyFont="1" applyFill="1" applyBorder="1" applyAlignment="1" applyProtection="1">
      <alignment horizontal="center" wrapText="1"/>
      <protection locked="0"/>
    </xf>
    <xf numFmtId="0" fontId="12" fillId="21" borderId="50" xfId="0" applyFont="1" applyFill="1" applyBorder="1" applyAlignment="1" applyProtection="1">
      <alignment horizontal="center" wrapText="1"/>
      <protection locked="0"/>
    </xf>
    <xf numFmtId="3" fontId="9" fillId="21" borderId="3" xfId="0" applyNumberFormat="1" applyFont="1" applyFill="1" applyBorder="1" applyAlignment="1" applyProtection="1">
      <alignment horizontal="center"/>
      <protection locked="0"/>
    </xf>
    <xf numFmtId="3" fontId="9" fillId="21" borderId="2" xfId="0" applyNumberFormat="1" applyFont="1" applyFill="1" applyBorder="1" applyAlignment="1" applyProtection="1">
      <alignment horizontal="center"/>
      <protection locked="0"/>
    </xf>
    <xf numFmtId="3" fontId="9" fillId="21" borderId="9" xfId="0" applyNumberFormat="1" applyFont="1" applyFill="1" applyBorder="1" applyAlignment="1" applyProtection="1">
      <alignment horizontal="center"/>
      <protection locked="0"/>
    </xf>
    <xf numFmtId="3" fontId="9" fillId="21" borderId="2" xfId="0" applyNumberFormat="1" applyFont="1" applyFill="1" applyBorder="1" applyAlignment="1" applyProtection="1">
      <alignment horizontal="center"/>
    </xf>
    <xf numFmtId="3" fontId="9" fillId="21" borderId="11" xfId="0" applyNumberFormat="1" applyFont="1" applyFill="1" applyBorder="1" applyAlignment="1" applyProtection="1">
      <alignment horizontal="center"/>
      <protection locked="0"/>
    </xf>
    <xf numFmtId="3" fontId="12" fillId="21" borderId="50" xfId="0" applyNumberFormat="1" applyFont="1" applyFill="1" applyBorder="1" applyAlignment="1" applyProtection="1">
      <alignment horizontal="center" wrapText="1"/>
      <protection locked="0"/>
    </xf>
    <xf numFmtId="3" fontId="23" fillId="18" borderId="46" xfId="0" applyNumberFormat="1" applyFont="1" applyFill="1" applyBorder="1" applyAlignment="1" applyProtection="1">
      <alignment horizontal="center"/>
    </xf>
    <xf numFmtId="3" fontId="23" fillId="18" borderId="48" xfId="0" applyNumberFormat="1" applyFont="1" applyFill="1" applyBorder="1" applyAlignment="1" applyProtection="1">
      <alignment horizontal="center"/>
    </xf>
    <xf numFmtId="3" fontId="9" fillId="18" borderId="48" xfId="0" applyNumberFormat="1" applyFont="1" applyFill="1" applyBorder="1" applyAlignment="1" applyProtection="1">
      <alignment horizontal="center"/>
    </xf>
    <xf numFmtId="3" fontId="9" fillId="21" borderId="14" xfId="0" applyNumberFormat="1" applyFont="1" applyFill="1" applyBorder="1" applyAlignment="1" applyProtection="1">
      <alignment horizontal="center"/>
    </xf>
    <xf numFmtId="3" fontId="9" fillId="21" borderId="15" xfId="0" applyNumberFormat="1" applyFont="1" applyFill="1" applyBorder="1" applyAlignment="1" applyProtection="1">
      <alignment horizontal="center"/>
    </xf>
    <xf numFmtId="3" fontId="9" fillId="21" borderId="16" xfId="0" applyNumberFormat="1" applyFont="1" applyFill="1" applyBorder="1" applyAlignment="1" applyProtection="1">
      <alignment horizontal="center"/>
    </xf>
    <xf numFmtId="0" fontId="12" fillId="19" borderId="2" xfId="0" applyFont="1" applyFill="1" applyBorder="1" applyAlignment="1" applyProtection="1">
      <alignment horizontal="center" wrapText="1"/>
      <protection locked="0"/>
    </xf>
    <xf numFmtId="0" fontId="13" fillId="19" borderId="9" xfId="0" applyFont="1" applyFill="1" applyBorder="1" applyAlignment="1" applyProtection="1">
      <alignment horizontal="center" wrapText="1"/>
      <protection locked="0"/>
    </xf>
    <xf numFmtId="3" fontId="0" fillId="19" borderId="1" xfId="0" applyNumberFormat="1" applyFill="1" applyBorder="1" applyAlignment="1">
      <alignment horizontal="center" vertical="center"/>
    </xf>
    <xf numFmtId="0" fontId="9" fillId="11" borderId="10" xfId="0" applyFont="1" applyFill="1" applyBorder="1" applyAlignment="1" applyProtection="1">
      <alignment horizontal="center"/>
      <protection locked="0"/>
    </xf>
    <xf numFmtId="3" fontId="23" fillId="11" borderId="2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3" fontId="23" fillId="12" borderId="14" xfId="0" applyNumberFormat="1" applyFont="1" applyFill="1" applyBorder="1" applyAlignment="1" applyProtection="1">
      <alignment horizontal="center"/>
    </xf>
    <xf numFmtId="3" fontId="45" fillId="22" borderId="1" xfId="0" applyNumberFormat="1" applyFont="1" applyFill="1" applyBorder="1" applyAlignment="1">
      <alignment horizontal="center" vertical="center"/>
    </xf>
    <xf numFmtId="3" fontId="44" fillId="21" borderId="1" xfId="0" applyNumberFormat="1" applyFont="1" applyFill="1" applyBorder="1" applyAlignment="1">
      <alignment horizontal="center" vertical="center"/>
    </xf>
    <xf numFmtId="0" fontId="46" fillId="20" borderId="47" xfId="0" applyFont="1" applyFill="1" applyBorder="1" applyAlignment="1" applyProtection="1">
      <alignment horizontal="center" wrapText="1"/>
      <protection locked="0"/>
    </xf>
    <xf numFmtId="37" fontId="8" fillId="10" borderId="10" xfId="1" applyNumberFormat="1" applyFont="1" applyFill="1" applyBorder="1" applyAlignment="1" applyProtection="1">
      <alignment horizontal="center"/>
      <protection hidden="1"/>
    </xf>
    <xf numFmtId="37" fontId="8" fillId="11" borderId="6" xfId="1" applyNumberFormat="1" applyFont="1" applyFill="1" applyBorder="1" applyAlignment="1" applyProtection="1">
      <alignment horizontal="center"/>
      <protection hidden="1"/>
    </xf>
    <xf numFmtId="3" fontId="23" fillId="18" borderId="12" xfId="0" applyNumberFormat="1" applyFont="1" applyFill="1" applyBorder="1" applyAlignment="1" applyProtection="1">
      <alignment horizontal="center"/>
    </xf>
    <xf numFmtId="37" fontId="8" fillId="20" borderId="6" xfId="1" applyNumberFormat="1" applyFont="1" applyFill="1" applyBorder="1" applyAlignment="1" applyProtection="1">
      <alignment horizontal="center"/>
      <protection hidden="1"/>
    </xf>
    <xf numFmtId="37" fontId="8" fillId="13" borderId="6" xfId="1" applyNumberFormat="1" applyFont="1" applyFill="1" applyBorder="1" applyAlignment="1" applyProtection="1">
      <alignment horizontal="center"/>
      <protection hidden="1"/>
    </xf>
    <xf numFmtId="37" fontId="8" fillId="21" borderId="6" xfId="1" applyNumberFormat="1" applyFont="1" applyFill="1" applyBorder="1" applyAlignment="1" applyProtection="1">
      <alignment horizontal="center"/>
      <protection hidden="1"/>
    </xf>
    <xf numFmtId="37" fontId="9" fillId="18" borderId="1" xfId="0" applyNumberFormat="1" applyFont="1" applyFill="1" applyBorder="1" applyAlignment="1" applyProtection="1">
      <alignment horizontal="center"/>
      <protection locked="0"/>
    </xf>
    <xf numFmtId="0" fontId="8" fillId="21" borderId="1" xfId="0" applyFont="1" applyFill="1" applyBorder="1" applyAlignment="1" applyProtection="1">
      <alignment horizontal="center" vertical="center" wrapText="1"/>
      <protection locked="0"/>
    </xf>
    <xf numFmtId="0" fontId="25" fillId="0" borderId="30" xfId="0" applyFont="1" applyFill="1" applyBorder="1" applyAlignment="1" applyProtection="1">
      <alignment horizontal="center"/>
      <protection locked="0"/>
    </xf>
    <xf numFmtId="37" fontId="25" fillId="0" borderId="6" xfId="1" applyNumberFormat="1" applyFont="1" applyFill="1" applyBorder="1" applyAlignment="1" applyProtection="1">
      <alignment horizontal="center"/>
      <protection hidden="1"/>
    </xf>
    <xf numFmtId="39" fontId="25" fillId="0" borderId="6" xfId="1" applyNumberFormat="1" applyFont="1" applyFill="1" applyBorder="1" applyAlignment="1" applyProtection="1">
      <alignment horizontal="center"/>
      <protection hidden="1"/>
    </xf>
    <xf numFmtId="37" fontId="8" fillId="22" borderId="1" xfId="1" applyNumberFormat="1" applyFont="1" applyFill="1" applyBorder="1" applyAlignment="1" applyProtection="1">
      <alignment horizontal="center"/>
      <protection hidden="1"/>
    </xf>
    <xf numFmtId="37" fontId="8" fillId="22" borderId="6" xfId="1" applyNumberFormat="1" applyFont="1" applyFill="1" applyBorder="1" applyAlignment="1" applyProtection="1">
      <alignment horizontal="center"/>
      <protection hidden="1"/>
    </xf>
    <xf numFmtId="0" fontId="22" fillId="18" borderId="52" xfId="0" applyFont="1" applyFill="1" applyBorder="1" applyAlignment="1" applyProtection="1">
      <alignment horizontal="center" wrapText="1"/>
      <protection locked="0"/>
    </xf>
    <xf numFmtId="0" fontId="12" fillId="22" borderId="24" xfId="0" applyFont="1" applyFill="1" applyBorder="1" applyAlignment="1" applyProtection="1">
      <alignment horizontal="center" vertical="center"/>
      <protection locked="0"/>
    </xf>
    <xf numFmtId="0" fontId="12" fillId="22" borderId="0" xfId="0" applyFont="1" applyFill="1" applyBorder="1" applyAlignment="1" applyProtection="1">
      <alignment horizontal="center" vertical="center"/>
      <protection locked="0"/>
    </xf>
    <xf numFmtId="37" fontId="8" fillId="12" borderId="4" xfId="1" applyNumberFormat="1" applyFont="1" applyFill="1" applyBorder="1" applyAlignment="1" applyProtection="1">
      <alignment horizontal="center"/>
      <protection hidden="1"/>
    </xf>
    <xf numFmtId="37" fontId="8" fillId="4" borderId="4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" fontId="9" fillId="0" borderId="0" xfId="0" applyNumberFormat="1" applyFont="1" applyBorder="1" applyAlignment="1" applyProtection="1">
      <alignment horizontal="center"/>
      <protection locked="0"/>
    </xf>
    <xf numFmtId="0" fontId="8" fillId="21" borderId="14" xfId="0" applyFont="1" applyFill="1" applyBorder="1" applyAlignment="1" applyProtection="1">
      <alignment horizontal="center" vertical="center" wrapText="1"/>
      <protection locked="0"/>
    </xf>
    <xf numFmtId="37" fontId="8" fillId="21" borderId="5" xfId="1" applyNumberFormat="1" applyFont="1" applyFill="1" applyBorder="1" applyAlignment="1" applyProtection="1">
      <alignment horizontal="center"/>
      <protection hidden="1"/>
    </xf>
    <xf numFmtId="37" fontId="8" fillId="22" borderId="21" xfId="1" applyNumberFormat="1" applyFont="1" applyFill="1" applyBorder="1" applyAlignment="1" applyProtection="1">
      <alignment horizontal="center"/>
      <protection hidden="1"/>
    </xf>
    <xf numFmtId="37" fontId="23" fillId="18" borderId="1" xfId="0" applyNumberFormat="1" applyFont="1" applyFill="1" applyBorder="1" applyAlignment="1" applyProtection="1">
      <alignment horizontal="center"/>
      <protection locked="0"/>
    </xf>
    <xf numFmtId="37" fontId="23" fillId="4" borderId="4" xfId="1" applyNumberFormat="1" applyFont="1" applyFill="1" applyBorder="1" applyAlignment="1" applyProtection="1">
      <alignment horizontal="center"/>
      <protection hidden="1"/>
    </xf>
    <xf numFmtId="37" fontId="23" fillId="12" borderId="4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22" borderId="14" xfId="0" applyFont="1" applyFill="1" applyBorder="1" applyAlignment="1" applyProtection="1">
      <alignment horizontal="center" vertical="center" wrapText="1"/>
      <protection locked="0"/>
    </xf>
    <xf numFmtId="0" fontId="8" fillId="22" borderId="15" xfId="0" applyFont="1" applyFill="1" applyBorder="1" applyAlignment="1" applyProtection="1">
      <alignment horizontal="center" vertical="center" wrapText="1"/>
      <protection locked="0"/>
    </xf>
    <xf numFmtId="3" fontId="23" fillId="18" borderId="53" xfId="0" applyNumberFormat="1" applyFont="1" applyFill="1" applyBorder="1" applyAlignment="1" applyProtection="1">
      <alignment horizontal="center"/>
    </xf>
    <xf numFmtId="3" fontId="9" fillId="21" borderId="1" xfId="0" applyNumberFormat="1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8" fillId="5" borderId="4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 applyProtection="1">
      <alignment horizontal="center" vertical="center" wrapText="1"/>
      <protection locked="0"/>
    </xf>
    <xf numFmtId="0" fontId="8" fillId="18" borderId="49" xfId="0" applyFont="1" applyFill="1" applyBorder="1" applyAlignment="1" applyProtection="1">
      <alignment horizontal="center" vertical="center" wrapText="1"/>
      <protection locked="0"/>
    </xf>
    <xf numFmtId="0" fontId="15" fillId="20" borderId="56" xfId="0" applyFont="1" applyFill="1" applyBorder="1" applyAlignment="1" applyProtection="1">
      <alignment vertical="center"/>
      <protection locked="0"/>
    </xf>
    <xf numFmtId="0" fontId="15" fillId="20" borderId="57" xfId="0" applyFont="1" applyFill="1" applyBorder="1" applyAlignment="1" applyProtection="1">
      <alignment vertical="center"/>
      <protection locked="0"/>
    </xf>
    <xf numFmtId="37" fontId="23" fillId="10" borderId="1" xfId="0" applyNumberFormat="1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3" fontId="23" fillId="20" borderId="1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8" fillId="0" borderId="12" xfId="0" applyFont="1" applyFill="1" applyBorder="1" applyProtection="1">
      <protection locked="0"/>
    </xf>
    <xf numFmtId="37" fontId="25" fillId="0" borderId="1" xfId="1" applyNumberFormat="1" applyFont="1" applyFill="1" applyBorder="1" applyAlignment="1" applyProtection="1">
      <alignment horizontal="center"/>
      <protection hidden="1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0" fillId="0" borderId="11" xfId="0" applyBorder="1"/>
    <xf numFmtId="0" fontId="50" fillId="0" borderId="11" xfId="0" applyFont="1" applyBorder="1"/>
    <xf numFmtId="0" fontId="18" fillId="0" borderId="11" xfId="0" applyFont="1" applyBorder="1" applyAlignment="1" applyProtection="1">
      <protection locked="0"/>
    </xf>
    <xf numFmtId="0" fontId="51" fillId="0" borderId="11" xfId="0" applyFont="1" applyBorder="1"/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7" fillId="0" borderId="33" xfId="0" applyFont="1" applyFill="1" applyBorder="1" applyAlignment="1">
      <alignment vertical="center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2" fontId="9" fillId="19" borderId="1" xfId="0" applyNumberFormat="1" applyFont="1" applyFill="1" applyBorder="1" applyAlignment="1" applyProtection="1">
      <alignment horizontal="center"/>
      <protection locked="0"/>
    </xf>
    <xf numFmtId="2" fontId="9" fillId="19" borderId="4" xfId="0" applyNumberFormat="1" applyFont="1" applyFill="1" applyBorder="1" applyAlignment="1" applyProtection="1">
      <alignment horizontal="center"/>
      <protection locked="0"/>
    </xf>
    <xf numFmtId="2" fontId="9" fillId="17" borderId="3" xfId="0" applyNumberFormat="1" applyFont="1" applyFill="1" applyBorder="1" applyAlignment="1" applyProtection="1">
      <alignment horizontal="center"/>
      <protection locked="0"/>
    </xf>
    <xf numFmtId="2" fontId="9" fillId="17" borderId="9" xfId="0" applyNumberFormat="1" applyFont="1" applyFill="1" applyBorder="1" applyAlignment="1" applyProtection="1">
      <alignment horizontal="center"/>
      <protection locked="0"/>
    </xf>
    <xf numFmtId="2" fontId="9" fillId="21" borderId="2" xfId="0" applyNumberFormat="1" applyFont="1" applyFill="1" applyBorder="1" applyAlignment="1" applyProtection="1">
      <alignment horizontal="center"/>
      <protection locked="0"/>
    </xf>
    <xf numFmtId="2" fontId="9" fillId="21" borderId="9" xfId="0" applyNumberFormat="1" applyFont="1" applyFill="1" applyBorder="1" applyAlignment="1" applyProtection="1">
      <alignment horizontal="center"/>
      <protection locked="0"/>
    </xf>
    <xf numFmtId="2" fontId="9" fillId="22" borderId="3" xfId="0" applyNumberFormat="1" applyFont="1" applyFill="1" applyBorder="1" applyAlignment="1" applyProtection="1">
      <alignment horizontal="center"/>
      <protection locked="0"/>
    </xf>
    <xf numFmtId="2" fontId="9" fillId="22" borderId="9" xfId="0" applyNumberFormat="1" applyFont="1" applyFill="1" applyBorder="1" applyAlignment="1" applyProtection="1">
      <alignment horizontal="center"/>
      <protection locked="0"/>
    </xf>
    <xf numFmtId="2" fontId="47" fillId="12" borderId="29" xfId="0" applyNumberFormat="1" applyFont="1" applyFill="1" applyBorder="1" applyAlignment="1">
      <alignment horizontal="center"/>
    </xf>
    <xf numFmtId="2" fontId="9" fillId="22" borderId="1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2" fontId="9" fillId="19" borderId="2" xfId="0" applyNumberFormat="1" applyFont="1" applyFill="1" applyBorder="1" applyAlignment="1" applyProtection="1">
      <alignment horizontal="center"/>
      <protection locked="0"/>
    </xf>
    <xf numFmtId="2" fontId="9" fillId="19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3" fontId="3" fillId="0" borderId="0" xfId="1" applyNumberFormat="1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37" fontId="8" fillId="0" borderId="6" xfId="1" applyNumberFormat="1" applyFont="1" applyFill="1" applyBorder="1" applyAlignment="1" applyProtection="1">
      <alignment horizontal="center"/>
      <protection hidden="1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Alignment="1" applyProtection="1">
      <alignment vertical="center"/>
      <protection locked="0"/>
    </xf>
    <xf numFmtId="43" fontId="3" fillId="0" borderId="0" xfId="1" applyNumberFormat="1" applyFont="1" applyAlignment="1" applyProtection="1">
      <alignment vertical="center"/>
      <protection locked="0"/>
    </xf>
    <xf numFmtId="0" fontId="15" fillId="0" borderId="0" xfId="2" applyFont="1" applyAlignment="1" applyProtection="1">
      <protection locked="0"/>
    </xf>
    <xf numFmtId="0" fontId="8" fillId="0" borderId="0" xfId="2" applyFont="1" applyAlignment="1" applyProtection="1">
      <protection locked="0"/>
    </xf>
    <xf numFmtId="43" fontId="52" fillId="13" borderId="36" xfId="1" applyNumberFormat="1" applyFont="1" applyFill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/>
    </xf>
    <xf numFmtId="37" fontId="53" fillId="0" borderId="4" xfId="1" applyNumberFormat="1" applyFont="1" applyBorder="1" applyAlignment="1">
      <alignment horizontal="center" vertical="center"/>
    </xf>
    <xf numFmtId="4" fontId="54" fillId="0" borderId="24" xfId="0" applyNumberFormat="1" applyFont="1" applyBorder="1" applyAlignment="1">
      <alignment horizontal="center"/>
    </xf>
    <xf numFmtId="0" fontId="53" fillId="0" borderId="26" xfId="0" applyFont="1" applyBorder="1" applyAlignment="1">
      <alignment horizontal="center" vertical="center"/>
    </xf>
    <xf numFmtId="37" fontId="53" fillId="0" borderId="8" xfId="1" applyNumberFormat="1" applyFont="1" applyBorder="1" applyAlignment="1">
      <alignment horizontal="center" vertical="center"/>
    </xf>
    <xf numFmtId="4" fontId="54" fillId="0" borderId="1" xfId="0" applyNumberFormat="1" applyFont="1" applyBorder="1" applyAlignment="1">
      <alignment horizontal="center"/>
    </xf>
    <xf numFmtId="4" fontId="54" fillId="0" borderId="1" xfId="1" applyNumberFormat="1" applyFont="1" applyBorder="1" applyAlignment="1">
      <alignment horizontal="center"/>
    </xf>
    <xf numFmtId="0" fontId="53" fillId="0" borderId="43" xfId="0" applyFont="1" applyBorder="1" applyAlignment="1">
      <alignment horizontal="center" vertical="center"/>
    </xf>
    <xf numFmtId="0" fontId="53" fillId="0" borderId="4" xfId="0" applyFont="1" applyBorder="1" applyAlignment="1">
      <alignment vertical="center" wrapText="1"/>
    </xf>
    <xf numFmtId="0" fontId="5" fillId="0" borderId="6" xfId="0" applyFont="1" applyBorder="1" applyAlignment="1" applyProtection="1">
      <alignment horizontal="center"/>
      <protection locked="0"/>
    </xf>
    <xf numFmtId="43" fontId="53" fillId="0" borderId="4" xfId="1" applyNumberFormat="1" applyFont="1" applyBorder="1" applyAlignment="1">
      <alignment horizontal="center" vertical="center"/>
    </xf>
    <xf numFmtId="4" fontId="54" fillId="0" borderId="39" xfId="0" applyNumberFormat="1" applyFont="1" applyBorder="1" applyAlignment="1">
      <alignment horizontal="center"/>
    </xf>
    <xf numFmtId="0" fontId="52" fillId="13" borderId="44" xfId="0" applyFont="1" applyFill="1" applyBorder="1" applyAlignment="1">
      <alignment horizontal="center" vertical="center"/>
    </xf>
    <xf numFmtId="37" fontId="53" fillId="13" borderId="4" xfId="1" applyNumberFormat="1" applyFont="1" applyFill="1" applyBorder="1" applyAlignment="1">
      <alignment horizontal="center" vertical="center"/>
    </xf>
    <xf numFmtId="4" fontId="52" fillId="13" borderId="22" xfId="1" applyNumberFormat="1" applyFont="1" applyFill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167" fontId="53" fillId="0" borderId="4" xfId="1" applyNumberFormat="1" applyFont="1" applyBorder="1" applyAlignment="1">
      <alignment horizontal="center" vertical="center"/>
    </xf>
    <xf numFmtId="43" fontId="53" fillId="0" borderId="1" xfId="1" applyNumberFormat="1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43" fontId="53" fillId="0" borderId="21" xfId="1" applyNumberFormat="1" applyFont="1" applyBorder="1" applyAlignment="1">
      <alignment vertical="center"/>
    </xf>
    <xf numFmtId="167" fontId="53" fillId="0" borderId="8" xfId="1" applyNumberFormat="1" applyFont="1" applyBorder="1" applyAlignment="1">
      <alignment horizontal="center" vertical="center"/>
    </xf>
    <xf numFmtId="43" fontId="53" fillId="0" borderId="39" xfId="1" applyNumberFormat="1" applyFont="1" applyBorder="1" applyAlignment="1">
      <alignment vertical="center"/>
    </xf>
    <xf numFmtId="43" fontId="52" fillId="13" borderId="14" xfId="1" applyNumberFormat="1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13" fillId="17" borderId="3" xfId="0" applyFont="1" applyFill="1" applyBorder="1" applyAlignment="1" applyProtection="1">
      <alignment horizontal="center" wrapText="1"/>
      <protection locked="0"/>
    </xf>
    <xf numFmtId="0" fontId="13" fillId="17" borderId="12" xfId="0" applyFont="1" applyFill="1" applyBorder="1" applyAlignment="1" applyProtection="1">
      <alignment horizontal="center" vertical="center" wrapText="1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13" fillId="17" borderId="48" xfId="0" applyFont="1" applyFill="1" applyBorder="1" applyAlignment="1" applyProtection="1">
      <alignment horizontal="center" wrapText="1"/>
      <protection locked="0"/>
    </xf>
    <xf numFmtId="0" fontId="13" fillId="17" borderId="12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52" fillId="13" borderId="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>
      <alignment horizontal="center" vertical="center" wrapText="1"/>
      <protection locked="0"/>
    </xf>
    <xf numFmtId="3" fontId="3" fillId="4" borderId="49" xfId="0" applyNumberFormat="1" applyFont="1" applyFill="1" applyBorder="1" applyAlignment="1" applyProtection="1">
      <alignment horizontal="center" vertical="center" wrapText="1"/>
    </xf>
    <xf numFmtId="37" fontId="8" fillId="5" borderId="12" xfId="1" applyNumberFormat="1" applyFont="1" applyFill="1" applyBorder="1" applyAlignment="1" applyProtection="1">
      <alignment horizontal="center" vertical="center" wrapText="1"/>
      <protection hidden="1"/>
    </xf>
    <xf numFmtId="37" fontId="8" fillId="22" borderId="16" xfId="1" applyNumberFormat="1" applyFont="1" applyFill="1" applyBorder="1" applyAlignment="1" applyProtection="1">
      <alignment horizontal="center" vertical="center" wrapText="1"/>
      <protection hidden="1"/>
    </xf>
    <xf numFmtId="1" fontId="8" fillId="7" borderId="14" xfId="1" applyNumberFormat="1" applyFont="1" applyFill="1" applyBorder="1" applyAlignment="1" applyProtection="1">
      <alignment horizontal="center" vertical="center" wrapText="1"/>
      <protection hidden="1"/>
    </xf>
    <xf numFmtId="37" fontId="8" fillId="5" borderId="14" xfId="1" applyNumberFormat="1" applyFont="1" applyFill="1" applyBorder="1" applyAlignment="1" applyProtection="1">
      <alignment horizontal="center" vertical="center" wrapText="1"/>
      <protection hidden="1"/>
    </xf>
    <xf numFmtId="37" fontId="8" fillId="22" borderId="19" xfId="1" applyNumberFormat="1" applyFont="1" applyFill="1" applyBorder="1" applyAlignment="1" applyProtection="1">
      <alignment horizontal="center" vertical="center" wrapText="1"/>
      <protection hidden="1"/>
    </xf>
    <xf numFmtId="37" fontId="8" fillId="7" borderId="12" xfId="1" applyNumberFormat="1" applyFont="1" applyFill="1" applyBorder="1" applyAlignment="1" applyProtection="1">
      <alignment horizontal="center" vertical="center" wrapText="1"/>
      <protection hidden="1"/>
    </xf>
    <xf numFmtId="37" fontId="8" fillId="9" borderId="48" xfId="1" applyNumberFormat="1" applyFont="1" applyFill="1" applyBorder="1" applyAlignment="1" applyProtection="1">
      <alignment horizontal="center" vertical="center" wrapText="1"/>
      <protection hidden="1"/>
    </xf>
    <xf numFmtId="37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9" fillId="20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9" xfId="0" applyNumberFormat="1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  <protection locked="0"/>
    </xf>
    <xf numFmtId="0" fontId="25" fillId="10" borderId="48" xfId="0" applyFont="1" applyFill="1" applyBorder="1" applyAlignment="1" applyProtection="1">
      <alignment horizontal="center" vertical="center" wrapText="1"/>
      <protection locked="0"/>
    </xf>
    <xf numFmtId="0" fontId="8" fillId="20" borderId="28" xfId="0" applyFont="1" applyFill="1" applyBorder="1" applyAlignment="1" applyProtection="1">
      <alignment horizontal="center" vertical="center" wrapText="1"/>
      <protection locked="0"/>
    </xf>
    <xf numFmtId="0" fontId="8" fillId="11" borderId="28" xfId="0" applyFont="1" applyFill="1" applyBorder="1" applyAlignment="1" applyProtection="1">
      <alignment horizontal="center" vertical="center" wrapText="1"/>
      <protection locked="0"/>
    </xf>
    <xf numFmtId="0" fontId="8" fillId="22" borderId="12" xfId="0" applyFont="1" applyFill="1" applyBorder="1" applyAlignment="1" applyProtection="1">
      <alignment horizontal="center" vertical="center" wrapText="1"/>
      <protection locked="0"/>
    </xf>
    <xf numFmtId="0" fontId="23" fillId="18" borderId="12" xfId="0" applyFont="1" applyFill="1" applyBorder="1" applyAlignment="1" applyProtection="1">
      <alignment horizontal="center" vertical="center" wrapText="1"/>
      <protection locked="0"/>
    </xf>
    <xf numFmtId="3" fontId="3" fillId="4" borderId="16" xfId="0" applyNumberFormat="1" applyFont="1" applyFill="1" applyBorder="1" applyAlignment="1" applyProtection="1">
      <alignment horizontal="center" vertical="center" wrapText="1"/>
    </xf>
    <xf numFmtId="0" fontId="3" fillId="23" borderId="58" xfId="0" applyFont="1" applyFill="1" applyBorder="1" applyAlignment="1" applyProtection="1">
      <alignment horizontal="center" vertical="center" wrapText="1"/>
      <protection locked="0"/>
    </xf>
    <xf numFmtId="37" fontId="25" fillId="23" borderId="6" xfId="1" applyNumberFormat="1" applyFont="1" applyFill="1" applyBorder="1" applyAlignment="1" applyProtection="1">
      <alignment horizontal="center" vertical="center" wrapText="1"/>
      <protection hidden="1"/>
    </xf>
    <xf numFmtId="37" fontId="50" fillId="23" borderId="1" xfId="0" applyNumberFormat="1" applyFont="1" applyFill="1" applyBorder="1" applyAlignment="1" applyProtection="1">
      <alignment horizontal="center" vertical="center" wrapText="1"/>
      <protection locked="0"/>
    </xf>
    <xf numFmtId="39" fontId="25" fillId="23" borderId="6" xfId="1" applyNumberFormat="1" applyFont="1" applyFill="1" applyBorder="1" applyAlignment="1" applyProtection="1">
      <alignment horizontal="center" vertical="center" wrapText="1"/>
      <protection hidden="1"/>
    </xf>
    <xf numFmtId="0" fontId="23" fillId="18" borderId="7" xfId="0" applyFont="1" applyFill="1" applyBorder="1" applyAlignment="1" applyProtection="1">
      <alignment horizontal="center" vertical="center" wrapText="1"/>
      <protection locked="0"/>
    </xf>
    <xf numFmtId="3" fontId="3" fillId="4" borderId="6" xfId="0" applyNumberFormat="1" applyFont="1" applyFill="1" applyBorder="1" applyAlignment="1" applyProtection="1">
      <alignment horizontal="center" vertical="center" wrapText="1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8" fillId="7" borderId="38" xfId="0" applyFont="1" applyFill="1" applyBorder="1" applyAlignment="1" applyProtection="1">
      <alignment horizontal="center" vertical="center" wrapText="1"/>
      <protection locked="0"/>
    </xf>
    <xf numFmtId="0" fontId="8" fillId="20" borderId="1" xfId="0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 applyProtection="1">
      <alignment horizontal="center" vertical="center" wrapText="1"/>
      <protection locked="0"/>
    </xf>
    <xf numFmtId="37" fontId="8" fillId="9" borderId="6" xfId="1" applyNumberFormat="1" applyFont="1" applyFill="1" applyBorder="1" applyAlignment="1" applyProtection="1">
      <alignment horizontal="center" vertical="center" wrapText="1"/>
      <protection hidden="1"/>
    </xf>
    <xf numFmtId="37" fontId="8" fillId="9" borderId="5" xfId="1" applyNumberFormat="1" applyFont="1" applyFill="1" applyBorder="1" applyAlignment="1" applyProtection="1">
      <alignment horizontal="center" vertical="center" wrapText="1"/>
      <protection hidden="1"/>
    </xf>
    <xf numFmtId="37" fontId="8" fillId="9" borderId="12" xfId="1" applyNumberFormat="1" applyFont="1" applyFill="1" applyBorder="1" applyAlignment="1" applyProtection="1">
      <alignment horizontal="center" vertical="center" wrapText="1"/>
      <protection hidden="1"/>
    </xf>
    <xf numFmtId="4" fontId="9" fillId="9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7" fontId="25" fillId="0" borderId="0" xfId="1" applyNumberFormat="1" applyFont="1" applyFill="1" applyBorder="1" applyAlignment="1" applyProtection="1">
      <alignment horizontal="center"/>
      <protection hidden="1"/>
    </xf>
    <xf numFmtId="39" fontId="25" fillId="0" borderId="0" xfId="1" applyNumberFormat="1" applyFont="1" applyFill="1" applyBorder="1" applyAlignment="1" applyProtection="1">
      <alignment horizontal="center"/>
      <protection hidden="1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3" fillId="10" borderId="32" xfId="0" applyFont="1" applyFill="1" applyBorder="1" applyAlignment="1" applyProtection="1">
      <alignment horizontal="center" vertical="center" wrapText="1"/>
      <protection locked="0"/>
    </xf>
    <xf numFmtId="0" fontId="52" fillId="13" borderId="4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33" xfId="0" applyFont="1" applyBorder="1"/>
    <xf numFmtId="3" fontId="2" fillId="0" borderId="21" xfId="0" applyNumberFormat="1" applyFont="1" applyBorder="1" applyAlignment="1">
      <alignment horizontal="center" vertical="center"/>
    </xf>
    <xf numFmtId="3" fontId="9" fillId="0" borderId="0" xfId="0" applyNumberFormat="1" applyFont="1" applyProtection="1">
      <protection locked="0"/>
    </xf>
    <xf numFmtId="37" fontId="9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30" fillId="0" borderId="4" xfId="0" applyFont="1" applyFill="1" applyBorder="1" applyAlignment="1" applyProtection="1">
      <alignment horizontal="left"/>
      <protection locked="0"/>
    </xf>
    <xf numFmtId="0" fontId="30" fillId="0" borderId="6" xfId="0" applyFont="1" applyFill="1" applyBorder="1" applyAlignment="1" applyProtection="1">
      <alignment horizontal="left"/>
      <protection locked="0"/>
    </xf>
    <xf numFmtId="165" fontId="31" fillId="0" borderId="4" xfId="0" applyNumberFormat="1" applyFont="1" applyBorder="1" applyAlignment="1" applyProtection="1">
      <alignment horizontal="center"/>
      <protection locked="0"/>
    </xf>
    <xf numFmtId="165" fontId="31" fillId="0" borderId="6" xfId="0" applyNumberFormat="1" applyFont="1" applyBorder="1" applyAlignment="1" applyProtection="1">
      <alignment horizontal="center"/>
      <protection locked="0"/>
    </xf>
    <xf numFmtId="0" fontId="30" fillId="0" borderId="4" xfId="0" applyFont="1" applyFill="1" applyBorder="1" applyAlignment="1" applyProtection="1">
      <protection locked="0"/>
    </xf>
    <xf numFmtId="0" fontId="30" fillId="0" borderId="6" xfId="0" applyFont="1" applyFill="1" applyBorder="1" applyAlignment="1" applyProtection="1"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3" fontId="0" fillId="0" borderId="6" xfId="0" applyNumberFormat="1" applyBorder="1" applyAlignment="1">
      <alignment horizontal="center"/>
    </xf>
    <xf numFmtId="16" fontId="2" fillId="0" borderId="0" xfId="0" applyNumberFormat="1" applyFont="1" applyBorder="1" applyProtection="1">
      <protection locked="0"/>
    </xf>
    <xf numFmtId="3" fontId="9" fillId="2" borderId="16" xfId="0" applyNumberFormat="1" applyFont="1" applyFill="1" applyBorder="1" applyAlignment="1" applyProtection="1">
      <alignment horizontal="center"/>
    </xf>
    <xf numFmtId="37" fontId="8" fillId="0" borderId="6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/>
    <xf numFmtId="37" fontId="3" fillId="0" borderId="0" xfId="0" applyNumberFormat="1" applyFont="1" applyProtection="1">
      <protection locked="0"/>
    </xf>
    <xf numFmtId="1" fontId="9" fillId="21" borderId="3" xfId="0" applyNumberFormat="1" applyFont="1" applyFill="1" applyBorder="1" applyAlignment="1" applyProtection="1">
      <alignment horizontal="center"/>
      <protection locked="0"/>
    </xf>
    <xf numFmtId="1" fontId="23" fillId="11" borderId="46" xfId="0" applyNumberFormat="1" applyFont="1" applyFill="1" applyBorder="1" applyAlignment="1" applyProtection="1">
      <alignment horizontal="center"/>
    </xf>
    <xf numFmtId="1" fontId="9" fillId="17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168" fontId="47" fillId="12" borderId="29" xfId="0" applyNumberFormat="1" applyFont="1" applyFill="1" applyBorder="1" applyAlignment="1">
      <alignment horizontal="center"/>
    </xf>
    <xf numFmtId="168" fontId="21" fillId="4" borderId="6" xfId="0" applyNumberFormat="1" applyFont="1" applyFill="1" applyBorder="1" applyAlignment="1">
      <alignment horizontal="center"/>
    </xf>
    <xf numFmtId="1" fontId="9" fillId="17" borderId="9" xfId="0" applyNumberFormat="1" applyFont="1" applyFill="1" applyBorder="1" applyAlignment="1" applyProtection="1">
      <alignment horizontal="center"/>
      <protection locked="0"/>
    </xf>
    <xf numFmtId="1" fontId="9" fillId="21" borderId="2" xfId="0" applyNumberFormat="1" applyFont="1" applyFill="1" applyBorder="1" applyAlignment="1" applyProtection="1">
      <alignment horizontal="center"/>
      <protection locked="0"/>
    </xf>
    <xf numFmtId="1" fontId="9" fillId="21" borderId="9" xfId="0" applyNumberFormat="1" applyFont="1" applyFill="1" applyBorder="1" applyAlignment="1" applyProtection="1">
      <alignment horizontal="center"/>
      <protection locked="0"/>
    </xf>
    <xf numFmtId="1" fontId="23" fillId="18" borderId="46" xfId="0" applyNumberFormat="1" applyFont="1" applyFill="1" applyBorder="1" applyAlignment="1" applyProtection="1">
      <alignment horizontal="center"/>
    </xf>
    <xf numFmtId="1" fontId="9" fillId="22" borderId="3" xfId="0" applyNumberFormat="1" applyFont="1" applyFill="1" applyBorder="1" applyAlignment="1" applyProtection="1">
      <alignment horizontal="center"/>
      <protection locked="0"/>
    </xf>
    <xf numFmtId="1" fontId="9" fillId="22" borderId="11" xfId="0" applyNumberFormat="1" applyFont="1" applyFill="1" applyBorder="1" applyAlignment="1" applyProtection="1">
      <alignment horizontal="center"/>
      <protection locked="0"/>
    </xf>
    <xf numFmtId="1" fontId="47" fillId="12" borderId="29" xfId="0" applyNumberFormat="1" applyFont="1" applyFill="1" applyBorder="1" applyAlignment="1">
      <alignment horizontal="center"/>
    </xf>
    <xf numFmtId="1" fontId="21" fillId="4" borderId="6" xfId="0" applyNumberFormat="1" applyFont="1" applyFill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2" fillId="20" borderId="47" xfId="0" applyNumberFormat="1" applyFont="1" applyFill="1" applyBorder="1" applyAlignment="1" applyProtection="1">
      <alignment horizontal="center" wrapText="1"/>
      <protection locked="0"/>
    </xf>
    <xf numFmtId="1" fontId="23" fillId="20" borderId="51" xfId="0" applyNumberFormat="1" applyFont="1" applyFill="1" applyBorder="1" applyAlignment="1" applyProtection="1">
      <alignment horizontal="center"/>
    </xf>
    <xf numFmtId="1" fontId="2" fillId="0" borderId="0" xfId="0" applyNumberFormat="1" applyFont="1" applyAlignment="1">
      <alignment horizontal="center"/>
    </xf>
    <xf numFmtId="1" fontId="9" fillId="20" borderId="12" xfId="0" applyNumberFormat="1" applyFont="1" applyFill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  <protection locked="0"/>
    </xf>
    <xf numFmtId="3" fontId="44" fillId="0" borderId="0" xfId="0" applyNumberFormat="1" applyFont="1" applyAlignment="1">
      <alignment horizontal="center"/>
    </xf>
    <xf numFmtId="1" fontId="9" fillId="17" borderId="3" xfId="0" applyNumberFormat="1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2" fillId="0" borderId="54" xfId="0" applyFont="1" applyFill="1" applyBorder="1"/>
    <xf numFmtId="0" fontId="0" fillId="0" borderId="59" xfId="0" applyBorder="1"/>
    <xf numFmtId="0" fontId="0" fillId="0" borderId="6" xfId="0" applyBorder="1"/>
    <xf numFmtId="3" fontId="2" fillId="0" borderId="54" xfId="0" applyNumberFormat="1" applyFont="1" applyBorder="1" applyAlignment="1">
      <alignment horizontal="center" vertical="center"/>
    </xf>
    <xf numFmtId="0" fontId="55" fillId="0" borderId="11" xfId="0" applyFont="1" applyBorder="1"/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>
      <alignment horizontal="center" vertical="center"/>
    </xf>
    <xf numFmtId="3" fontId="12" fillId="16" borderId="1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3" fillId="12" borderId="48" xfId="0" applyFont="1" applyFill="1" applyBorder="1" applyAlignment="1" applyProtection="1">
      <alignment horizontal="center"/>
      <protection locked="0"/>
    </xf>
    <xf numFmtId="0" fontId="3" fillId="12" borderId="19" xfId="0" applyFont="1" applyFill="1" applyBorder="1" applyAlignment="1" applyProtection="1">
      <alignment horizontal="center"/>
      <protection locked="0"/>
    </xf>
    <xf numFmtId="0" fontId="3" fillId="12" borderId="49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0" borderId="48" xfId="0" applyFont="1" applyFill="1" applyBorder="1" applyAlignment="1" applyProtection="1">
      <alignment horizontal="center"/>
      <protection locked="0"/>
    </xf>
    <xf numFmtId="0" fontId="3" fillId="20" borderId="19" xfId="0" applyFont="1" applyFill="1" applyBorder="1" applyAlignment="1" applyProtection="1">
      <alignment horizontal="center"/>
      <protection locked="0"/>
    </xf>
    <xf numFmtId="0" fontId="3" fillId="20" borderId="49" xfId="0" applyFont="1" applyFill="1" applyBorder="1" applyAlignment="1" applyProtection="1">
      <alignment horizontal="center"/>
      <protection locked="0"/>
    </xf>
    <xf numFmtId="0" fontId="3" fillId="11" borderId="4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 applyProtection="1">
      <alignment horizontal="center"/>
      <protection locked="0"/>
    </xf>
    <xf numFmtId="0" fontId="3" fillId="11" borderId="49" xfId="0" applyFont="1" applyFill="1" applyBorder="1" applyAlignment="1" applyProtection="1">
      <alignment horizontal="center"/>
      <protection locked="0"/>
    </xf>
    <xf numFmtId="0" fontId="9" fillId="20" borderId="4" xfId="0" applyFont="1" applyFill="1" applyBorder="1" applyAlignment="1" applyProtection="1">
      <alignment horizontal="center"/>
      <protection locked="0"/>
    </xf>
    <xf numFmtId="0" fontId="9" fillId="20" borderId="5" xfId="0" applyFont="1" applyFill="1" applyBorder="1" applyAlignment="1" applyProtection="1">
      <alignment horizontal="center"/>
      <protection locked="0"/>
    </xf>
    <xf numFmtId="0" fontId="9" fillId="20" borderId="6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3" fontId="14" fillId="0" borderId="9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53" fillId="0" borderId="4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2" fillId="13" borderId="4" xfId="0" applyFont="1" applyFill="1" applyBorder="1" applyAlignment="1">
      <alignment horizontal="right" vertical="center"/>
    </xf>
    <xf numFmtId="0" fontId="52" fillId="13" borderId="5" xfId="0" applyFont="1" applyFill="1" applyBorder="1" applyAlignment="1">
      <alignment horizontal="right" vertical="center"/>
    </xf>
    <xf numFmtId="0" fontId="52" fillId="13" borderId="6" xfId="0" applyFont="1" applyFill="1" applyBorder="1" applyAlignment="1">
      <alignment horizontal="right" vertical="center"/>
    </xf>
    <xf numFmtId="0" fontId="52" fillId="13" borderId="4" xfId="0" applyFont="1" applyFill="1" applyBorder="1" applyAlignment="1">
      <alignment horizontal="center" vertical="center"/>
    </xf>
    <xf numFmtId="0" fontId="52" fillId="13" borderId="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3" fillId="0" borderId="8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 vertical="center" wrapText="1"/>
    </xf>
    <xf numFmtId="0" fontId="52" fillId="13" borderId="4" xfId="0" applyFont="1" applyFill="1" applyBorder="1" applyAlignment="1">
      <alignment horizontal="center" vertical="center" wrapText="1"/>
    </xf>
    <xf numFmtId="0" fontId="52" fillId="13" borderId="6" xfId="0" applyFont="1" applyFill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2" fillId="13" borderId="35" xfId="0" applyFont="1" applyFill="1" applyBorder="1" applyAlignment="1">
      <alignment horizontal="center" vertical="center" wrapText="1"/>
    </xf>
    <xf numFmtId="0" fontId="52" fillId="13" borderId="0" xfId="0" applyFont="1" applyFill="1" applyBorder="1" applyAlignment="1">
      <alignment horizontal="center" vertical="center" wrapText="1"/>
    </xf>
    <xf numFmtId="0" fontId="52" fillId="13" borderId="18" xfId="0" applyFont="1" applyFill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/>
    </xf>
    <xf numFmtId="4" fontId="35" fillId="0" borderId="6" xfId="0" applyNumberFormat="1" applyFont="1" applyBorder="1" applyAlignment="1">
      <alignment horizontal="center" vertical="center"/>
    </xf>
    <xf numFmtId="4" fontId="9" fillId="16" borderId="4" xfId="0" applyNumberFormat="1" applyFont="1" applyFill="1" applyBorder="1" applyAlignment="1">
      <alignment horizontal="center"/>
    </xf>
    <xf numFmtId="4" fontId="9" fillId="16" borderId="6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4" fontId="35" fillId="0" borderId="40" xfId="0" applyNumberFormat="1" applyFont="1" applyFill="1" applyBorder="1" applyAlignment="1">
      <alignment horizontal="center" vertical="center"/>
    </xf>
    <xf numFmtId="4" fontId="35" fillId="0" borderId="41" xfId="0" applyNumberFormat="1" applyFont="1" applyFill="1" applyBorder="1" applyAlignment="1">
      <alignment horizontal="center" vertical="center"/>
    </xf>
    <xf numFmtId="4" fontId="3" fillId="16" borderId="4" xfId="0" applyNumberFormat="1" applyFont="1" applyFill="1" applyBorder="1" applyAlignment="1">
      <alignment horizontal="center"/>
    </xf>
    <xf numFmtId="4" fontId="3" fillId="16" borderId="6" xfId="0" applyNumberFormat="1" applyFont="1" applyFill="1" applyBorder="1" applyAlignment="1">
      <alignment horizontal="center"/>
    </xf>
    <xf numFmtId="0" fontId="3" fillId="16" borderId="35" xfId="0" applyFont="1" applyFill="1" applyBorder="1" applyAlignment="1" applyProtection="1">
      <alignment horizontal="center"/>
      <protection locked="0"/>
    </xf>
    <xf numFmtId="0" fontId="3" fillId="16" borderId="0" xfId="0" applyFont="1" applyFill="1" applyBorder="1" applyAlignment="1" applyProtection="1">
      <alignment horizontal="center"/>
      <protection locked="0"/>
    </xf>
    <xf numFmtId="4" fontId="3" fillId="16" borderId="4" xfId="0" applyNumberFormat="1" applyFont="1" applyFill="1" applyBorder="1" applyAlignment="1">
      <alignment horizontal="center" vertical="center"/>
    </xf>
    <xf numFmtId="4" fontId="3" fillId="16" borderId="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9" fillId="16" borderId="25" xfId="0" applyNumberFormat="1" applyFont="1" applyFill="1" applyBorder="1" applyAlignment="1">
      <alignment horizontal="center" vertical="center"/>
    </xf>
    <xf numFmtId="4" fontId="9" fillId="16" borderId="37" xfId="0" applyNumberFormat="1" applyFont="1" applyFill="1" applyBorder="1" applyAlignment="1">
      <alignment horizontal="center" vertical="center"/>
    </xf>
    <xf numFmtId="4" fontId="35" fillId="0" borderId="4" xfId="0" applyNumberFormat="1" applyFont="1" applyFill="1" applyBorder="1" applyAlignment="1">
      <alignment horizontal="center" vertical="center"/>
    </xf>
    <xf numFmtId="4" fontId="35" fillId="0" borderId="34" xfId="0" applyNumberFormat="1" applyFont="1" applyFill="1" applyBorder="1" applyAlignment="1">
      <alignment horizontal="center" vertical="center"/>
    </xf>
    <xf numFmtId="165" fontId="31" fillId="14" borderId="4" xfId="0" applyNumberFormat="1" applyFont="1" applyFill="1" applyBorder="1" applyAlignment="1" applyProtection="1">
      <alignment horizontal="center"/>
      <protection locked="0"/>
    </xf>
    <xf numFmtId="165" fontId="31" fillId="14" borderId="6" xfId="0" applyNumberFormat="1" applyFont="1" applyFill="1" applyBorder="1" applyAlignment="1" applyProtection="1">
      <alignment horizontal="center"/>
      <protection locked="0"/>
    </xf>
    <xf numFmtId="166" fontId="31" fillId="14" borderId="4" xfId="0" applyNumberFormat="1" applyFont="1" applyFill="1" applyBorder="1" applyAlignment="1" applyProtection="1">
      <alignment horizontal="center"/>
      <protection locked="0"/>
    </xf>
    <xf numFmtId="166" fontId="31" fillId="14" borderId="6" xfId="0" applyNumberFormat="1" applyFont="1" applyFill="1" applyBorder="1" applyAlignment="1" applyProtection="1">
      <alignment horizontal="center"/>
      <protection locked="0"/>
    </xf>
    <xf numFmtId="0" fontId="30" fillId="15" borderId="4" xfId="0" applyFont="1" applyFill="1" applyBorder="1" applyAlignment="1" applyProtection="1">
      <alignment horizontal="center"/>
      <protection locked="0"/>
    </xf>
    <xf numFmtId="0" fontId="30" fillId="15" borderId="6" xfId="0" applyFont="1" applyFill="1" applyBorder="1" applyAlignment="1" applyProtection="1">
      <alignment horizontal="center"/>
      <protection locked="0"/>
    </xf>
    <xf numFmtId="165" fontId="31" fillId="15" borderId="4" xfId="0" applyNumberFormat="1" applyFont="1" applyFill="1" applyBorder="1" applyAlignment="1" applyProtection="1">
      <alignment horizontal="center"/>
      <protection locked="0"/>
    </xf>
    <xf numFmtId="165" fontId="31" fillId="15" borderId="6" xfId="0" applyNumberFormat="1" applyFont="1" applyFill="1" applyBorder="1" applyAlignment="1" applyProtection="1">
      <alignment horizontal="center"/>
      <protection locked="0"/>
    </xf>
    <xf numFmtId="166" fontId="31" fillId="15" borderId="4" xfId="0" applyNumberFormat="1" applyFont="1" applyFill="1" applyBorder="1" applyAlignment="1" applyProtection="1">
      <alignment horizontal="center"/>
      <protection locked="0"/>
    </xf>
    <xf numFmtId="166" fontId="31" fillId="15" borderId="6" xfId="0" applyNumberFormat="1" applyFont="1" applyFill="1" applyBorder="1" applyAlignment="1" applyProtection="1">
      <alignment horizontal="center"/>
      <protection locked="0"/>
    </xf>
    <xf numFmtId="0" fontId="33" fillId="16" borderId="35" xfId="0" applyFont="1" applyFill="1" applyBorder="1" applyAlignment="1" applyProtection="1">
      <alignment horizontal="center"/>
      <protection locked="0"/>
    </xf>
    <xf numFmtId="0" fontId="33" fillId="16" borderId="0" xfId="0" applyFont="1" applyFill="1" applyBorder="1" applyAlignment="1" applyProtection="1">
      <alignment horizontal="center"/>
      <protection locked="0"/>
    </xf>
    <xf numFmtId="166" fontId="31" fillId="0" borderId="4" xfId="0" applyNumberFormat="1" applyFont="1" applyBorder="1" applyAlignment="1" applyProtection="1">
      <alignment horizontal="center"/>
      <protection locked="0"/>
    </xf>
    <xf numFmtId="166" fontId="31" fillId="0" borderId="6" xfId="0" applyNumberFormat="1" applyFont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left"/>
      <protection locked="0"/>
    </xf>
    <xf numFmtId="0" fontId="8" fillId="10" borderId="6" xfId="0" applyFont="1" applyFill="1" applyBorder="1" applyAlignment="1" applyProtection="1">
      <alignment horizontal="left"/>
      <protection locked="0"/>
    </xf>
    <xf numFmtId="37" fontId="8" fillId="10" borderId="4" xfId="1" applyNumberFormat="1" applyFont="1" applyFill="1" applyBorder="1" applyAlignment="1" applyProtection="1">
      <alignment horizontal="center"/>
      <protection hidden="1"/>
    </xf>
    <xf numFmtId="37" fontId="8" fillId="10" borderId="6" xfId="1" applyNumberFormat="1" applyFont="1" applyFill="1" applyBorder="1" applyAlignment="1" applyProtection="1">
      <alignment horizontal="center"/>
      <protection hidden="1"/>
    </xf>
    <xf numFmtId="0" fontId="30" fillId="14" borderId="11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6" xfId="0" applyFont="1" applyFill="1" applyBorder="1" applyAlignment="1" applyProtection="1">
      <alignment horizontal="left"/>
      <protection locked="0"/>
    </xf>
    <xf numFmtId="37" fontId="8" fillId="0" borderId="4" xfId="1" applyNumberFormat="1" applyFont="1" applyFill="1" applyBorder="1" applyAlignment="1" applyProtection="1">
      <alignment horizontal="center"/>
      <protection hidden="1"/>
    </xf>
    <xf numFmtId="37" fontId="8" fillId="0" borderId="6" xfId="1" applyNumberFormat="1" applyFont="1" applyFill="1" applyBorder="1" applyAlignment="1" applyProtection="1">
      <alignment horizontal="center"/>
      <protection hidden="1"/>
    </xf>
    <xf numFmtId="0" fontId="30" fillId="9" borderId="4" xfId="0" applyFont="1" applyFill="1" applyBorder="1" applyAlignment="1" applyProtection="1">
      <alignment horizontal="left" vertical="center"/>
      <protection locked="0"/>
    </xf>
    <xf numFmtId="0" fontId="30" fillId="9" borderId="6" xfId="0" applyFont="1" applyFill="1" applyBorder="1" applyAlignment="1" applyProtection="1">
      <alignment horizontal="left" vertical="center"/>
      <protection locked="0"/>
    </xf>
    <xf numFmtId="165" fontId="2" fillId="9" borderId="4" xfId="0" applyNumberFormat="1" applyFont="1" applyFill="1" applyBorder="1" applyAlignment="1" applyProtection="1">
      <alignment horizontal="center"/>
      <protection locked="0"/>
    </xf>
    <xf numFmtId="165" fontId="2" fillId="9" borderId="6" xfId="0" applyNumberFormat="1" applyFont="1" applyFill="1" applyBorder="1" applyAlignment="1" applyProtection="1">
      <alignment horizontal="center"/>
      <protection locked="0"/>
    </xf>
    <xf numFmtId="4" fontId="31" fillId="9" borderId="4" xfId="0" applyNumberFormat="1" applyFont="1" applyFill="1" applyBorder="1" applyAlignment="1" applyProtection="1">
      <alignment horizontal="center"/>
      <protection locked="0"/>
    </xf>
    <xf numFmtId="4" fontId="31" fillId="9" borderId="6" xfId="0" applyNumberFormat="1" applyFont="1" applyFill="1" applyBorder="1" applyAlignment="1" applyProtection="1">
      <alignment horizontal="center"/>
      <protection locked="0"/>
    </xf>
    <xf numFmtId="0" fontId="8" fillId="10" borderId="31" xfId="0" applyFont="1" applyFill="1" applyBorder="1" applyAlignment="1" applyProtection="1">
      <alignment horizontal="center"/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30" fillId="9" borderId="4" xfId="0" applyFont="1" applyFill="1" applyBorder="1" applyAlignment="1" applyProtection="1">
      <alignment horizontal="center" vertical="center"/>
      <protection locked="0"/>
    </xf>
    <xf numFmtId="0" fontId="30" fillId="9" borderId="5" xfId="0" applyFont="1" applyFill="1" applyBorder="1" applyAlignment="1" applyProtection="1">
      <alignment horizontal="center" vertical="center"/>
      <protection locked="0"/>
    </xf>
    <xf numFmtId="0" fontId="30" fillId="9" borderId="6" xfId="0" applyFont="1" applyFill="1" applyBorder="1" applyAlignment="1" applyProtection="1">
      <alignment horizontal="center" vertical="center"/>
      <protection locked="0"/>
    </xf>
    <xf numFmtId="0" fontId="30" fillId="0" borderId="4" xfId="0" applyFont="1" applyFill="1" applyBorder="1" applyAlignment="1" applyProtection="1">
      <alignment horizontal="left" vertical="center"/>
      <protection locked="0"/>
    </xf>
    <xf numFmtId="0" fontId="30" fillId="0" borderId="6" xfId="0" applyFont="1" applyFill="1" applyBorder="1" applyAlignment="1" applyProtection="1">
      <alignment horizontal="left" vertic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4" fontId="31" fillId="0" borderId="4" xfId="0" applyNumberFormat="1" applyFont="1" applyFill="1" applyBorder="1" applyAlignment="1" applyProtection="1">
      <alignment horizontal="center"/>
      <protection locked="0"/>
    </xf>
    <xf numFmtId="4" fontId="31" fillId="0" borderId="6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13" borderId="8" xfId="0" applyFont="1" applyFill="1" applyBorder="1" applyAlignment="1" applyProtection="1">
      <alignment horizontal="left" vertical="center"/>
      <protection locked="0"/>
    </xf>
    <xf numFmtId="0" fontId="30" fillId="13" borderId="33" xfId="0" applyFont="1" applyFill="1" applyBorder="1" applyAlignment="1" applyProtection="1">
      <alignment horizontal="left" vertical="center"/>
      <protection locked="0"/>
    </xf>
    <xf numFmtId="0" fontId="30" fillId="13" borderId="9" xfId="0" applyFont="1" applyFill="1" applyBorder="1" applyAlignment="1" applyProtection="1">
      <alignment horizontal="left" vertical="center"/>
      <protection locked="0"/>
    </xf>
    <xf numFmtId="0" fontId="30" fillId="13" borderId="3" xfId="0" applyFont="1" applyFill="1" applyBorder="1" applyAlignment="1" applyProtection="1">
      <alignment horizontal="left" vertical="center"/>
      <protection locked="0"/>
    </xf>
    <xf numFmtId="0" fontId="30" fillId="13" borderId="8" xfId="0" applyFont="1" applyFill="1" applyBorder="1" applyAlignment="1" applyProtection="1">
      <alignment horizontal="center" vertical="center"/>
      <protection locked="0"/>
    </xf>
    <xf numFmtId="0" fontId="30" fillId="13" borderId="33" xfId="0" applyFont="1" applyFill="1" applyBorder="1" applyAlignment="1" applyProtection="1">
      <alignment horizontal="center" vertical="center"/>
      <protection locked="0"/>
    </xf>
    <xf numFmtId="0" fontId="30" fillId="13" borderId="9" xfId="0" applyFont="1" applyFill="1" applyBorder="1" applyAlignment="1" applyProtection="1">
      <alignment horizontal="center" vertical="center"/>
      <protection locked="0"/>
    </xf>
    <xf numFmtId="0" fontId="30" fillId="13" borderId="3" xfId="0" applyFont="1" applyFill="1" applyBorder="1" applyAlignment="1" applyProtection="1">
      <alignment horizontal="center" vertical="center"/>
      <protection locked="0"/>
    </xf>
    <xf numFmtId="0" fontId="31" fillId="13" borderId="21" xfId="0" applyFont="1" applyFill="1" applyBorder="1" applyAlignment="1" applyProtection="1">
      <alignment horizontal="center" vertical="center" wrapText="1"/>
      <protection locked="0"/>
    </xf>
    <xf numFmtId="0" fontId="31" fillId="13" borderId="2" xfId="0" applyFont="1" applyFill="1" applyBorder="1" applyAlignment="1" applyProtection="1">
      <alignment horizontal="center" vertical="center" wrapText="1"/>
      <protection locked="0"/>
    </xf>
    <xf numFmtId="0" fontId="31" fillId="13" borderId="8" xfId="0" applyFont="1" applyFill="1" applyBorder="1" applyAlignment="1" applyProtection="1">
      <alignment horizontal="center" vertical="center" wrapText="1"/>
      <protection locked="0"/>
    </xf>
    <xf numFmtId="0" fontId="31" fillId="13" borderId="33" xfId="0" applyFont="1" applyFill="1" applyBorder="1" applyAlignment="1" applyProtection="1">
      <alignment horizontal="center" vertical="center" wrapText="1"/>
      <protection locked="0"/>
    </xf>
    <xf numFmtId="0" fontId="31" fillId="13" borderId="9" xfId="0" applyFont="1" applyFill="1" applyBorder="1" applyAlignment="1" applyProtection="1">
      <alignment horizontal="center" vertical="center" wrapText="1"/>
      <protection locked="0"/>
    </xf>
    <xf numFmtId="0" fontId="31" fillId="13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3" fontId="3" fillId="0" borderId="0" xfId="1" applyNumberFormat="1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164" fontId="26" fillId="0" borderId="21" xfId="1" applyFont="1" applyBorder="1" applyAlignment="1" applyProtection="1">
      <alignment horizontal="center" vertical="center"/>
      <protection locked="0"/>
    </xf>
    <xf numFmtId="164" fontId="26" fillId="0" borderId="3" xfId="1" applyFont="1" applyBorder="1" applyAlignment="1" applyProtection="1">
      <alignment horizontal="center" vertical="center"/>
      <protection locked="0"/>
    </xf>
    <xf numFmtId="0" fontId="0" fillId="20" borderId="48" xfId="0" applyFill="1" applyBorder="1" applyAlignment="1">
      <alignment horizontal="center"/>
    </xf>
    <xf numFmtId="0" fontId="0" fillId="20" borderId="19" xfId="0" applyFill="1" applyBorder="1" applyAlignment="1">
      <alignment horizontal="center"/>
    </xf>
    <xf numFmtId="0" fontId="0" fillId="20" borderId="49" xfId="0" applyFill="1" applyBorder="1" applyAlignment="1">
      <alignment horizontal="center"/>
    </xf>
    <xf numFmtId="0" fontId="15" fillId="20" borderId="54" xfId="0" applyFont="1" applyFill="1" applyBorder="1" applyAlignment="1" applyProtection="1">
      <alignment horizontal="center" vertical="center"/>
      <protection locked="0"/>
    </xf>
    <xf numFmtId="0" fontId="15" fillId="20" borderId="55" xfId="0" applyFont="1" applyFill="1" applyBorder="1" applyAlignment="1" applyProtection="1">
      <alignment horizontal="center" vertical="center"/>
      <protection locked="0"/>
    </xf>
    <xf numFmtId="0" fontId="15" fillId="20" borderId="48" xfId="0" applyFont="1" applyFill="1" applyBorder="1" applyAlignment="1" applyProtection="1">
      <alignment horizontal="center" vertical="center" wrapText="1"/>
      <protection locked="0"/>
    </xf>
    <xf numFmtId="0" fontId="15" fillId="20" borderId="49" xfId="0" applyFont="1" applyFill="1" applyBorder="1" applyAlignment="1" applyProtection="1">
      <alignment horizontal="center" vertical="center" wrapText="1"/>
      <protection locked="0"/>
    </xf>
    <xf numFmtId="0" fontId="5" fillId="9" borderId="48" xfId="0" applyFont="1" applyFill="1" applyBorder="1" applyAlignment="1" applyProtection="1">
      <alignment horizontal="center" vertical="center"/>
      <protection locked="0"/>
    </xf>
    <xf numFmtId="0" fontId="5" fillId="9" borderId="19" xfId="0" applyFont="1" applyFill="1" applyBorder="1" applyAlignment="1" applyProtection="1">
      <alignment horizontal="center" vertical="center"/>
      <protection locked="0"/>
    </xf>
    <xf numFmtId="0" fontId="5" fillId="9" borderId="49" xfId="0" applyFont="1" applyFill="1" applyBorder="1" applyAlignment="1" applyProtection="1">
      <alignment horizontal="center" vertical="center"/>
      <protection locked="0"/>
    </xf>
    <xf numFmtId="0" fontId="3" fillId="9" borderId="48" xfId="0" applyFont="1" applyFill="1" applyBorder="1" applyAlignment="1" applyProtection="1">
      <alignment horizontal="center" vertical="center" wrapText="1"/>
      <protection locked="0"/>
    </xf>
    <xf numFmtId="0" fontId="3" fillId="9" borderId="19" xfId="0" applyFont="1" applyFill="1" applyBorder="1" applyAlignment="1" applyProtection="1">
      <alignment horizontal="center" vertical="center" wrapText="1"/>
      <protection locked="0"/>
    </xf>
    <xf numFmtId="0" fontId="3" fillId="9" borderId="49" xfId="0" applyFont="1" applyFill="1" applyBorder="1" applyAlignment="1" applyProtection="1">
      <alignment horizontal="center" vertical="center" wrapText="1"/>
      <protection locked="0"/>
    </xf>
    <xf numFmtId="0" fontId="16" fillId="5" borderId="21" xfId="0" applyFont="1" applyFill="1" applyBorder="1" applyAlignment="1" applyProtection="1">
      <alignment horizontal="center" vertical="center" wrapText="1"/>
      <protection locked="0"/>
    </xf>
    <xf numFmtId="0" fontId="16" fillId="5" borderId="2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4" fillId="6" borderId="21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25" fillId="10" borderId="48" xfId="0" applyFont="1" applyFill="1" applyBorder="1" applyAlignment="1" applyProtection="1">
      <alignment horizontal="center"/>
      <protection locked="0"/>
    </xf>
    <xf numFmtId="0" fontId="25" fillId="10" borderId="49" xfId="0" applyFont="1" applyFill="1" applyBorder="1" applyAlignment="1" applyProtection="1">
      <alignment horizontal="center"/>
      <protection locked="0"/>
    </xf>
    <xf numFmtId="0" fontId="25" fillId="10" borderId="19" xfId="0" applyFont="1" applyFill="1" applyBorder="1" applyAlignment="1" applyProtection="1">
      <alignment horizontal="center"/>
      <protection locked="0"/>
    </xf>
    <xf numFmtId="0" fontId="15" fillId="23" borderId="31" xfId="0" applyFont="1" applyFill="1" applyBorder="1" applyAlignment="1" applyProtection="1">
      <alignment horizontal="center"/>
      <protection locked="0"/>
    </xf>
    <xf numFmtId="0" fontId="15" fillId="23" borderId="5" xfId="0" applyFont="1" applyFill="1" applyBorder="1" applyAlignment="1" applyProtection="1">
      <alignment horizontal="center"/>
      <protection locked="0"/>
    </xf>
    <xf numFmtId="0" fontId="15" fillId="23" borderId="10" xfId="0" applyFont="1" applyFill="1" applyBorder="1" applyAlignment="1" applyProtection="1">
      <alignment horizontal="center"/>
      <protection locked="0"/>
    </xf>
    <xf numFmtId="0" fontId="15" fillId="23" borderId="6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4" xfId="2"/>
  </cellStyles>
  <dxfs count="0"/>
  <tableStyles count="0" defaultTableStyle="TableStyleMedium9" defaultPivotStyle="PivotStyleLight16"/>
  <colors>
    <mruColors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7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1273969</xdr:colOff>
      <xdr:row>51</xdr:row>
      <xdr:rowOff>178593</xdr:rowOff>
    </xdr:from>
    <xdr:to>
      <xdr:col>36</xdr:col>
      <xdr:colOff>126207</xdr:colOff>
      <xdr:row>55</xdr:row>
      <xdr:rowOff>88105</xdr:rowOff>
    </xdr:to>
    <xdr:pic>
      <xdr:nvPicPr>
        <xdr:cNvPr id="6" name="73 Image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8319" y="10256043"/>
          <a:ext cx="1214438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264018</xdr:colOff>
      <xdr:row>0</xdr:row>
      <xdr:rowOff>88598</xdr:rowOff>
    </xdr:from>
    <xdr:to>
      <xdr:col>17</xdr:col>
      <xdr:colOff>645071</xdr:colOff>
      <xdr:row>5</xdr:row>
      <xdr:rowOff>148130</xdr:rowOff>
    </xdr:to>
    <xdr:pic>
      <xdr:nvPicPr>
        <xdr:cNvPr id="8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656" y="88598"/>
          <a:ext cx="1147433" cy="990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559594</xdr:colOff>
      <xdr:row>53</xdr:row>
      <xdr:rowOff>119061</xdr:rowOff>
    </xdr:from>
    <xdr:to>
      <xdr:col>11</xdr:col>
      <xdr:colOff>132229</xdr:colOff>
      <xdr:row>56</xdr:row>
      <xdr:rowOff>85724</xdr:rowOff>
    </xdr:to>
    <xdr:pic>
      <xdr:nvPicPr>
        <xdr:cNvPr id="9" name="1 Imagen" descr="13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7144" y="10501311"/>
          <a:ext cx="3402805" cy="5381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183356</xdr:colOff>
      <xdr:row>0</xdr:row>
      <xdr:rowOff>92869</xdr:rowOff>
    </xdr:from>
    <xdr:to>
      <xdr:col>9</xdr:col>
      <xdr:colOff>311943</xdr:colOff>
      <xdr:row>5</xdr:row>
      <xdr:rowOff>47626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9731" y="92869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235744</xdr:colOff>
      <xdr:row>0</xdr:row>
      <xdr:rowOff>64294</xdr:rowOff>
    </xdr:from>
    <xdr:to>
      <xdr:col>9</xdr:col>
      <xdr:colOff>364331</xdr:colOff>
      <xdr:row>5</xdr:row>
      <xdr:rowOff>19051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119" y="64294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0</xdr:row>
      <xdr:rowOff>66675</xdr:rowOff>
    </xdr:from>
    <xdr:to>
      <xdr:col>9</xdr:col>
      <xdr:colOff>500062</xdr:colOff>
      <xdr:row>5</xdr:row>
      <xdr:rowOff>21432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663" y="66675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126206</xdr:rowOff>
    </xdr:from>
    <xdr:to>
      <xdr:col>9</xdr:col>
      <xdr:colOff>519112</xdr:colOff>
      <xdr:row>5</xdr:row>
      <xdr:rowOff>42863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26206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119062</xdr:rowOff>
    </xdr:from>
    <xdr:to>
      <xdr:col>9</xdr:col>
      <xdr:colOff>338137</xdr:colOff>
      <xdr:row>5</xdr:row>
      <xdr:rowOff>35719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19062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180156</xdr:colOff>
      <xdr:row>0</xdr:row>
      <xdr:rowOff>142875</xdr:rowOff>
    </xdr:from>
    <xdr:to>
      <xdr:col>9</xdr:col>
      <xdr:colOff>308743</xdr:colOff>
      <xdr:row>5</xdr:row>
      <xdr:rowOff>59532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269" y="142875"/>
          <a:ext cx="886490" cy="889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245269</xdr:colOff>
      <xdr:row>0</xdr:row>
      <xdr:rowOff>176213</xdr:rowOff>
    </xdr:from>
    <xdr:to>
      <xdr:col>9</xdr:col>
      <xdr:colOff>373856</xdr:colOff>
      <xdr:row>5</xdr:row>
      <xdr:rowOff>92870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1644" y="176213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233362</xdr:colOff>
      <xdr:row>0</xdr:row>
      <xdr:rowOff>138112</xdr:rowOff>
    </xdr:from>
    <xdr:to>
      <xdr:col>9</xdr:col>
      <xdr:colOff>361949</xdr:colOff>
      <xdr:row>5</xdr:row>
      <xdr:rowOff>54769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9737" y="138112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321468</xdr:colOff>
      <xdr:row>0</xdr:row>
      <xdr:rowOff>95250</xdr:rowOff>
    </xdr:from>
    <xdr:to>
      <xdr:col>9</xdr:col>
      <xdr:colOff>450055</xdr:colOff>
      <xdr:row>5</xdr:row>
      <xdr:rowOff>11907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3" y="95250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192881</xdr:colOff>
      <xdr:row>0</xdr:row>
      <xdr:rowOff>176212</xdr:rowOff>
    </xdr:from>
    <xdr:to>
      <xdr:col>9</xdr:col>
      <xdr:colOff>321468</xdr:colOff>
      <xdr:row>5</xdr:row>
      <xdr:rowOff>92869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256" y="176212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567860</xdr:colOff>
      <xdr:row>55</xdr:row>
      <xdr:rowOff>19330</xdr:rowOff>
    </xdr:from>
    <xdr:to>
      <xdr:col>11</xdr:col>
      <xdr:colOff>304801</xdr:colOff>
      <xdr:row>58</xdr:row>
      <xdr:rowOff>64568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410" y="9706255"/>
          <a:ext cx="527516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454820</xdr:colOff>
      <xdr:row>59</xdr:row>
      <xdr:rowOff>33337</xdr:rowOff>
    </xdr:from>
    <xdr:to>
      <xdr:col>12</xdr:col>
      <xdr:colOff>126209</xdr:colOff>
      <xdr:row>60</xdr:row>
      <xdr:rowOff>180975</xdr:rowOff>
    </xdr:to>
    <xdr:pic>
      <xdr:nvPicPr>
        <xdr:cNvPr id="3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4370" y="10482262"/>
          <a:ext cx="2355056" cy="338138"/>
        </a:xfrm>
        <a:prstGeom prst="rect">
          <a:avLst/>
        </a:prstGeom>
      </xdr:spPr>
    </xdr:pic>
    <xdr:clientData/>
  </xdr:twoCellAnchor>
  <xdr:oneCellAnchor>
    <xdr:from>
      <xdr:col>29</xdr:col>
      <xdr:colOff>59532</xdr:colOff>
      <xdr:row>3</xdr:row>
      <xdr:rowOff>166687</xdr:rowOff>
    </xdr:from>
    <xdr:ext cx="1687195" cy="1237615"/>
    <xdr:pic>
      <xdr:nvPicPr>
        <xdr:cNvPr id="4" name="Imagen 133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1282" y="785812"/>
          <a:ext cx="1687195" cy="123761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29</xdr:col>
      <xdr:colOff>1273969</xdr:colOff>
      <xdr:row>57</xdr:row>
      <xdr:rowOff>178593</xdr:rowOff>
    </xdr:from>
    <xdr:to>
      <xdr:col>31</xdr:col>
      <xdr:colOff>126207</xdr:colOff>
      <xdr:row>61</xdr:row>
      <xdr:rowOff>88105</xdr:rowOff>
    </xdr:to>
    <xdr:pic>
      <xdr:nvPicPr>
        <xdr:cNvPr id="5" name="73 Image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1369" y="10246518"/>
          <a:ext cx="890588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567860</xdr:colOff>
      <xdr:row>55</xdr:row>
      <xdr:rowOff>19330</xdr:rowOff>
    </xdr:from>
    <xdr:to>
      <xdr:col>11</xdr:col>
      <xdr:colOff>304801</xdr:colOff>
      <xdr:row>58</xdr:row>
      <xdr:rowOff>64568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410" y="9706255"/>
          <a:ext cx="527516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454820</xdr:colOff>
      <xdr:row>59</xdr:row>
      <xdr:rowOff>33337</xdr:rowOff>
    </xdr:from>
    <xdr:to>
      <xdr:col>12</xdr:col>
      <xdr:colOff>126209</xdr:colOff>
      <xdr:row>60</xdr:row>
      <xdr:rowOff>180975</xdr:rowOff>
    </xdr:to>
    <xdr:pic>
      <xdr:nvPicPr>
        <xdr:cNvPr id="8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4370" y="10482262"/>
          <a:ext cx="2355056" cy="338138"/>
        </a:xfrm>
        <a:prstGeom prst="rect">
          <a:avLst/>
        </a:prstGeom>
      </xdr:spPr>
    </xdr:pic>
    <xdr:clientData/>
  </xdr:twoCellAnchor>
  <xdr:oneCellAnchor>
    <xdr:from>
      <xdr:col>29</xdr:col>
      <xdr:colOff>59532</xdr:colOff>
      <xdr:row>3</xdr:row>
      <xdr:rowOff>166687</xdr:rowOff>
    </xdr:from>
    <xdr:ext cx="1687195" cy="1237615"/>
    <xdr:pic>
      <xdr:nvPicPr>
        <xdr:cNvPr id="9" name="Imagen 133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1282" y="785812"/>
          <a:ext cx="1687195" cy="123761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29</xdr:col>
      <xdr:colOff>1273969</xdr:colOff>
      <xdr:row>57</xdr:row>
      <xdr:rowOff>178593</xdr:rowOff>
    </xdr:from>
    <xdr:to>
      <xdr:col>31</xdr:col>
      <xdr:colOff>126207</xdr:colOff>
      <xdr:row>61</xdr:row>
      <xdr:rowOff>88105</xdr:rowOff>
    </xdr:to>
    <xdr:pic>
      <xdr:nvPicPr>
        <xdr:cNvPr id="10" name="73 Image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1369" y="10246518"/>
          <a:ext cx="890588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567860</xdr:colOff>
      <xdr:row>53</xdr:row>
      <xdr:rowOff>19330</xdr:rowOff>
    </xdr:from>
    <xdr:to>
      <xdr:col>11</xdr:col>
      <xdr:colOff>304801</xdr:colOff>
      <xdr:row>56</xdr:row>
      <xdr:rowOff>64568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9485" y="9296680"/>
          <a:ext cx="498941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454820</xdr:colOff>
      <xdr:row>57</xdr:row>
      <xdr:rowOff>33337</xdr:rowOff>
    </xdr:from>
    <xdr:to>
      <xdr:col>12</xdr:col>
      <xdr:colOff>126209</xdr:colOff>
      <xdr:row>58</xdr:row>
      <xdr:rowOff>180974</xdr:rowOff>
    </xdr:to>
    <xdr:pic>
      <xdr:nvPicPr>
        <xdr:cNvPr id="12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4445" y="10072687"/>
          <a:ext cx="2012156" cy="338138"/>
        </a:xfrm>
        <a:prstGeom prst="rect">
          <a:avLst/>
        </a:prstGeom>
      </xdr:spPr>
    </xdr:pic>
    <xdr:clientData/>
  </xdr:twoCellAnchor>
  <xdr:twoCellAnchor>
    <xdr:from>
      <xdr:col>10</xdr:col>
      <xdr:colOff>567860</xdr:colOff>
      <xdr:row>53</xdr:row>
      <xdr:rowOff>19330</xdr:rowOff>
    </xdr:from>
    <xdr:to>
      <xdr:col>11</xdr:col>
      <xdr:colOff>304801</xdr:colOff>
      <xdr:row>56</xdr:row>
      <xdr:rowOff>64568</xdr:rowOff>
    </xdr:to>
    <xdr:pic>
      <xdr:nvPicPr>
        <xdr:cNvPr id="13" name="1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9485" y="9296680"/>
          <a:ext cx="498941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454820</xdr:colOff>
      <xdr:row>57</xdr:row>
      <xdr:rowOff>33337</xdr:rowOff>
    </xdr:from>
    <xdr:to>
      <xdr:col>12</xdr:col>
      <xdr:colOff>126209</xdr:colOff>
      <xdr:row>58</xdr:row>
      <xdr:rowOff>180974</xdr:rowOff>
    </xdr:to>
    <xdr:pic>
      <xdr:nvPicPr>
        <xdr:cNvPr id="14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4445" y="10072687"/>
          <a:ext cx="2012156" cy="338138"/>
        </a:xfrm>
        <a:prstGeom prst="rect">
          <a:avLst/>
        </a:prstGeom>
      </xdr:spPr>
    </xdr:pic>
    <xdr:clientData/>
  </xdr:twoCellAnchor>
  <xdr:twoCellAnchor editAs="oneCell">
    <xdr:from>
      <xdr:col>10</xdr:col>
      <xdr:colOff>254792</xdr:colOff>
      <xdr:row>0</xdr:row>
      <xdr:rowOff>142875</xdr:rowOff>
    </xdr:from>
    <xdr:to>
      <xdr:col>11</xdr:col>
      <xdr:colOff>616743</xdr:colOff>
      <xdr:row>5</xdr:row>
      <xdr:rowOff>95250</xdr:rowOff>
    </xdr:to>
    <xdr:pic>
      <xdr:nvPicPr>
        <xdr:cNvPr id="15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855" y="142875"/>
          <a:ext cx="1123951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132291</xdr:colOff>
      <xdr:row>0</xdr:row>
      <xdr:rowOff>95250</xdr:rowOff>
    </xdr:from>
    <xdr:to>
      <xdr:col>9</xdr:col>
      <xdr:colOff>260878</xdr:colOff>
      <xdr:row>5</xdr:row>
      <xdr:rowOff>11907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374" y="95250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283369</xdr:colOff>
      <xdr:row>0</xdr:row>
      <xdr:rowOff>126206</xdr:rowOff>
    </xdr:from>
    <xdr:to>
      <xdr:col>9</xdr:col>
      <xdr:colOff>411956</xdr:colOff>
      <xdr:row>5</xdr:row>
      <xdr:rowOff>42863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9744" y="126206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167217</xdr:colOff>
      <xdr:row>0</xdr:row>
      <xdr:rowOff>123825</xdr:rowOff>
    </xdr:from>
    <xdr:to>
      <xdr:col>9</xdr:col>
      <xdr:colOff>295804</xdr:colOff>
      <xdr:row>5</xdr:row>
      <xdr:rowOff>40482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3825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259555</xdr:colOff>
      <xdr:row>0</xdr:row>
      <xdr:rowOff>107156</xdr:rowOff>
    </xdr:from>
    <xdr:to>
      <xdr:col>9</xdr:col>
      <xdr:colOff>388142</xdr:colOff>
      <xdr:row>5</xdr:row>
      <xdr:rowOff>23813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930" y="107156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164306</xdr:colOff>
      <xdr:row>0</xdr:row>
      <xdr:rowOff>161925</xdr:rowOff>
    </xdr:from>
    <xdr:to>
      <xdr:col>9</xdr:col>
      <xdr:colOff>292893</xdr:colOff>
      <xdr:row>5</xdr:row>
      <xdr:rowOff>78582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0681" y="161925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59531</xdr:colOff>
      <xdr:row>0</xdr:row>
      <xdr:rowOff>166686</xdr:rowOff>
    </xdr:from>
    <xdr:to>
      <xdr:col>9</xdr:col>
      <xdr:colOff>669131</xdr:colOff>
      <xdr:row>5</xdr:row>
      <xdr:rowOff>119061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5906" y="166686"/>
          <a:ext cx="13716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0</xdr:row>
      <xdr:rowOff>104775</xdr:rowOff>
    </xdr:from>
    <xdr:to>
      <xdr:col>9</xdr:col>
      <xdr:colOff>223837</xdr:colOff>
      <xdr:row>5</xdr:row>
      <xdr:rowOff>59532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04775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197644</xdr:colOff>
      <xdr:row>0</xdr:row>
      <xdr:rowOff>80963</xdr:rowOff>
    </xdr:from>
    <xdr:to>
      <xdr:col>9</xdr:col>
      <xdr:colOff>326231</xdr:colOff>
      <xdr:row>5</xdr:row>
      <xdr:rowOff>35720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19" y="80963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354807</xdr:colOff>
      <xdr:row>0</xdr:row>
      <xdr:rowOff>142875</xdr:rowOff>
    </xdr:from>
    <xdr:to>
      <xdr:col>9</xdr:col>
      <xdr:colOff>483394</xdr:colOff>
      <xdr:row>5</xdr:row>
      <xdr:rowOff>97632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182" y="142875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152507</xdr:colOff>
      <xdr:row>0</xdr:row>
      <xdr:rowOff>101243</xdr:rowOff>
    </xdr:from>
    <xdr:to>
      <xdr:col>9</xdr:col>
      <xdr:colOff>281095</xdr:colOff>
      <xdr:row>5</xdr:row>
      <xdr:rowOff>56000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8715" y="101243"/>
          <a:ext cx="888447" cy="917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401108</xdr:colOff>
      <xdr:row>0</xdr:row>
      <xdr:rowOff>136525</xdr:rowOff>
    </xdr:from>
    <xdr:to>
      <xdr:col>12</xdr:col>
      <xdr:colOff>487363</xdr:colOff>
      <xdr:row>5</xdr:row>
      <xdr:rowOff>53182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36525"/>
          <a:ext cx="890588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211932</xdr:colOff>
      <xdr:row>1</xdr:row>
      <xdr:rowOff>4762</xdr:rowOff>
    </xdr:from>
    <xdr:to>
      <xdr:col>9</xdr:col>
      <xdr:colOff>340519</xdr:colOff>
      <xdr:row>5</xdr:row>
      <xdr:rowOff>150019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307" y="19526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314768</xdr:colOff>
      <xdr:row>0</xdr:row>
      <xdr:rowOff>169900</xdr:rowOff>
    </xdr:from>
    <xdr:to>
      <xdr:col>9</xdr:col>
      <xdr:colOff>443355</xdr:colOff>
      <xdr:row>5</xdr:row>
      <xdr:rowOff>124657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198" y="169900"/>
          <a:ext cx="892802" cy="8961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229658</xdr:colOff>
      <xdr:row>0</xdr:row>
      <xdr:rowOff>116417</xdr:rowOff>
    </xdr:from>
    <xdr:to>
      <xdr:col>9</xdr:col>
      <xdr:colOff>358245</xdr:colOff>
      <xdr:row>4</xdr:row>
      <xdr:rowOff>81757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741" y="116417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307181</xdr:colOff>
      <xdr:row>0</xdr:row>
      <xdr:rowOff>95250</xdr:rowOff>
    </xdr:from>
    <xdr:to>
      <xdr:col>9</xdr:col>
      <xdr:colOff>435768</xdr:colOff>
      <xdr:row>5</xdr:row>
      <xdr:rowOff>50007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56" y="95250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383381</xdr:colOff>
      <xdr:row>0</xdr:row>
      <xdr:rowOff>83344</xdr:rowOff>
    </xdr:from>
    <xdr:to>
      <xdr:col>9</xdr:col>
      <xdr:colOff>511968</xdr:colOff>
      <xdr:row>5</xdr:row>
      <xdr:rowOff>38101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756" y="83344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121708</xdr:rowOff>
    </xdr:from>
    <xdr:to>
      <xdr:col>9</xdr:col>
      <xdr:colOff>385762</xdr:colOff>
      <xdr:row>5</xdr:row>
      <xdr:rowOff>76465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258" y="121708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66675</xdr:rowOff>
    </xdr:from>
    <xdr:to>
      <xdr:col>9</xdr:col>
      <xdr:colOff>376237</xdr:colOff>
      <xdr:row>5</xdr:row>
      <xdr:rowOff>21432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6675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204788</xdr:colOff>
      <xdr:row>0</xdr:row>
      <xdr:rowOff>64294</xdr:rowOff>
    </xdr:from>
    <xdr:to>
      <xdr:col>9</xdr:col>
      <xdr:colOff>333375</xdr:colOff>
      <xdr:row>5</xdr:row>
      <xdr:rowOff>19051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1163" y="64294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385762</xdr:colOff>
      <xdr:row>5</xdr:row>
      <xdr:rowOff>188649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258" y="23389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169333</xdr:colOff>
      <xdr:row>1</xdr:row>
      <xdr:rowOff>109008</xdr:rowOff>
    </xdr:from>
    <xdr:to>
      <xdr:col>9</xdr:col>
      <xdr:colOff>297920</xdr:colOff>
      <xdr:row>6</xdr:row>
      <xdr:rowOff>63765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0416" y="299508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567860</xdr:colOff>
      <xdr:row>56</xdr:row>
      <xdr:rowOff>19330</xdr:rowOff>
    </xdr:from>
    <xdr:to>
      <xdr:col>9</xdr:col>
      <xdr:colOff>304801</xdr:colOff>
      <xdr:row>59</xdr:row>
      <xdr:rowOff>64568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410" y="9706255"/>
          <a:ext cx="527516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454820</xdr:colOff>
      <xdr:row>60</xdr:row>
      <xdr:rowOff>33337</xdr:rowOff>
    </xdr:from>
    <xdr:to>
      <xdr:col>9</xdr:col>
      <xdr:colOff>657226</xdr:colOff>
      <xdr:row>61</xdr:row>
      <xdr:rowOff>180975</xdr:rowOff>
    </xdr:to>
    <xdr:pic>
      <xdr:nvPicPr>
        <xdr:cNvPr id="3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4370" y="10482262"/>
          <a:ext cx="2040731" cy="338138"/>
        </a:xfrm>
        <a:prstGeom prst="rect">
          <a:avLst/>
        </a:prstGeom>
      </xdr:spPr>
    </xdr:pic>
    <xdr:clientData/>
  </xdr:twoCellAnchor>
  <xdr:oneCellAnchor>
    <xdr:from>
      <xdr:col>27</xdr:col>
      <xdr:colOff>59532</xdr:colOff>
      <xdr:row>3</xdr:row>
      <xdr:rowOff>166687</xdr:rowOff>
    </xdr:from>
    <xdr:ext cx="1687195" cy="1237615"/>
    <xdr:pic>
      <xdr:nvPicPr>
        <xdr:cNvPr id="4" name="Imagen 133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1282" y="785812"/>
          <a:ext cx="1687195" cy="123761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27</xdr:col>
      <xdr:colOff>1273969</xdr:colOff>
      <xdr:row>58</xdr:row>
      <xdr:rowOff>178593</xdr:rowOff>
    </xdr:from>
    <xdr:to>
      <xdr:col>29</xdr:col>
      <xdr:colOff>126207</xdr:colOff>
      <xdr:row>62</xdr:row>
      <xdr:rowOff>88105</xdr:rowOff>
    </xdr:to>
    <xdr:pic>
      <xdr:nvPicPr>
        <xdr:cNvPr id="5" name="73 Image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1369" y="10246518"/>
          <a:ext cx="890588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567860</xdr:colOff>
      <xdr:row>56</xdr:row>
      <xdr:rowOff>19330</xdr:rowOff>
    </xdr:from>
    <xdr:to>
      <xdr:col>9</xdr:col>
      <xdr:colOff>304801</xdr:colOff>
      <xdr:row>59</xdr:row>
      <xdr:rowOff>64568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410" y="9706255"/>
          <a:ext cx="527516" cy="61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247651</xdr:colOff>
      <xdr:row>1</xdr:row>
      <xdr:rowOff>19049</xdr:rowOff>
    </xdr:from>
    <xdr:to>
      <xdr:col>9</xdr:col>
      <xdr:colOff>376238</xdr:colOff>
      <xdr:row>5</xdr:row>
      <xdr:rowOff>126206</xdr:rowOff>
    </xdr:to>
    <xdr:pic>
      <xdr:nvPicPr>
        <xdr:cNvPr id="7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6" y="209549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454820</xdr:colOff>
      <xdr:row>60</xdr:row>
      <xdr:rowOff>33337</xdr:rowOff>
    </xdr:from>
    <xdr:to>
      <xdr:col>9</xdr:col>
      <xdr:colOff>657226</xdr:colOff>
      <xdr:row>61</xdr:row>
      <xdr:rowOff>180975</xdr:rowOff>
    </xdr:to>
    <xdr:pic>
      <xdr:nvPicPr>
        <xdr:cNvPr id="8" name="1 Imagen" descr="13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4370" y="10482262"/>
          <a:ext cx="2040731" cy="338138"/>
        </a:xfrm>
        <a:prstGeom prst="rect">
          <a:avLst/>
        </a:prstGeom>
      </xdr:spPr>
    </xdr:pic>
    <xdr:clientData/>
  </xdr:twoCellAnchor>
  <xdr:oneCellAnchor>
    <xdr:from>
      <xdr:col>27</xdr:col>
      <xdr:colOff>59532</xdr:colOff>
      <xdr:row>3</xdr:row>
      <xdr:rowOff>166687</xdr:rowOff>
    </xdr:from>
    <xdr:ext cx="1687195" cy="1237615"/>
    <xdr:pic>
      <xdr:nvPicPr>
        <xdr:cNvPr id="9" name="Imagen 133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1282" y="785812"/>
          <a:ext cx="1687195" cy="123761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27</xdr:col>
      <xdr:colOff>1273969</xdr:colOff>
      <xdr:row>58</xdr:row>
      <xdr:rowOff>178593</xdr:rowOff>
    </xdr:from>
    <xdr:to>
      <xdr:col>29</xdr:col>
      <xdr:colOff>126207</xdr:colOff>
      <xdr:row>62</xdr:row>
      <xdr:rowOff>88105</xdr:rowOff>
    </xdr:to>
    <xdr:pic>
      <xdr:nvPicPr>
        <xdr:cNvPr id="10" name="73 Image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1369" y="10246518"/>
          <a:ext cx="890588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385762</xdr:colOff>
      <xdr:row>6</xdr:row>
      <xdr:rowOff>910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3389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385762</xdr:colOff>
      <xdr:row>5</xdr:row>
      <xdr:rowOff>188649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3389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385762</xdr:colOff>
      <xdr:row>5</xdr:row>
      <xdr:rowOff>188649</xdr:rowOff>
    </xdr:to>
    <xdr:pic>
      <xdr:nvPicPr>
        <xdr:cNvPr id="3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3389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378142</xdr:colOff>
      <xdr:row>6</xdr:row>
      <xdr:rowOff>36249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91344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385762</xdr:colOff>
      <xdr:row>6</xdr:row>
      <xdr:rowOff>759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33892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347662</xdr:colOff>
      <xdr:row>7</xdr:row>
      <xdr:rowOff>5769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882967" cy="1059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355282</xdr:colOff>
      <xdr:row>6</xdr:row>
      <xdr:rowOff>150549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890587" cy="1021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370522</xdr:colOff>
      <xdr:row>6</xdr:row>
      <xdr:rowOff>74349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905827" cy="945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340042</xdr:colOff>
      <xdr:row>7</xdr:row>
      <xdr:rowOff>51489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875347" cy="1105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362902</xdr:colOff>
      <xdr:row>6</xdr:row>
      <xdr:rowOff>112449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898207" cy="983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245033</xdr:colOff>
      <xdr:row>0</xdr:row>
      <xdr:rowOff>136072</xdr:rowOff>
    </xdr:from>
    <xdr:to>
      <xdr:col>9</xdr:col>
      <xdr:colOff>373621</xdr:colOff>
      <xdr:row>5</xdr:row>
      <xdr:rowOff>54822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1819" y="136072"/>
          <a:ext cx="892681" cy="860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43392</xdr:rowOff>
    </xdr:from>
    <xdr:to>
      <xdr:col>9</xdr:col>
      <xdr:colOff>332422</xdr:colOff>
      <xdr:row>7</xdr:row>
      <xdr:rowOff>97209</xdr:rowOff>
    </xdr:to>
    <xdr:pic>
      <xdr:nvPicPr>
        <xdr:cNvPr id="3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855" y="233892"/>
          <a:ext cx="867727" cy="1151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462915</xdr:colOff>
      <xdr:row>1</xdr:row>
      <xdr:rowOff>20533</xdr:rowOff>
    </xdr:from>
    <xdr:to>
      <xdr:col>9</xdr:col>
      <xdr:colOff>350520</xdr:colOff>
      <xdr:row>5</xdr:row>
      <xdr:rowOff>106681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3595" y="211033"/>
          <a:ext cx="672465" cy="848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462915</xdr:colOff>
      <xdr:row>1</xdr:row>
      <xdr:rowOff>20533</xdr:rowOff>
    </xdr:from>
    <xdr:to>
      <xdr:col>9</xdr:col>
      <xdr:colOff>335280</xdr:colOff>
      <xdr:row>5</xdr:row>
      <xdr:rowOff>167641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3595" y="211033"/>
          <a:ext cx="664845" cy="8786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462915</xdr:colOff>
      <xdr:row>1</xdr:row>
      <xdr:rowOff>20533</xdr:rowOff>
    </xdr:from>
    <xdr:to>
      <xdr:col>9</xdr:col>
      <xdr:colOff>327660</xdr:colOff>
      <xdr:row>6</xdr:row>
      <xdr:rowOff>15241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3595" y="211033"/>
          <a:ext cx="657225" cy="90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709236</xdr:colOff>
      <xdr:row>0</xdr:row>
      <xdr:rowOff>168881</xdr:rowOff>
    </xdr:from>
    <xdr:to>
      <xdr:col>9</xdr:col>
      <xdr:colOff>43165</xdr:colOff>
      <xdr:row>5</xdr:row>
      <xdr:rowOff>123638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407" y="168881"/>
          <a:ext cx="923244" cy="93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152400</xdr:rowOff>
    </xdr:from>
    <xdr:to>
      <xdr:col>5</xdr:col>
      <xdr:colOff>500062</xdr:colOff>
      <xdr:row>6</xdr:row>
      <xdr:rowOff>30957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52400"/>
          <a:ext cx="890587" cy="9072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334747</xdr:colOff>
      <xdr:row>96</xdr:row>
      <xdr:rowOff>79361</xdr:rowOff>
    </xdr:from>
    <xdr:to>
      <xdr:col>12</xdr:col>
      <xdr:colOff>1384300</xdr:colOff>
      <xdr:row>100</xdr:row>
      <xdr:rowOff>152401</xdr:rowOff>
    </xdr:to>
    <xdr:pic>
      <xdr:nvPicPr>
        <xdr:cNvPr id="3" name="1 Imagen" descr="1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6247" y="19281761"/>
          <a:ext cx="11908053" cy="898540"/>
        </a:xfrm>
        <a:prstGeom prst="rect">
          <a:avLst/>
        </a:prstGeom>
      </xdr:spPr>
    </xdr:pic>
    <xdr:clientData/>
  </xdr:twoCellAnchor>
  <xdr:twoCellAnchor editAs="oneCell">
    <xdr:from>
      <xdr:col>1</xdr:col>
      <xdr:colOff>1493520</xdr:colOff>
      <xdr:row>312</xdr:row>
      <xdr:rowOff>115377</xdr:rowOff>
    </xdr:from>
    <xdr:to>
      <xdr:col>8</xdr:col>
      <xdr:colOff>1447800</xdr:colOff>
      <xdr:row>315</xdr:row>
      <xdr:rowOff>136243</xdr:rowOff>
    </xdr:to>
    <xdr:pic>
      <xdr:nvPicPr>
        <xdr:cNvPr id="5" name="1 Imagen" descr="1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2640" y="60465777"/>
          <a:ext cx="6797040" cy="615226"/>
        </a:xfrm>
        <a:prstGeom prst="rect">
          <a:avLst/>
        </a:prstGeom>
      </xdr:spPr>
    </xdr:pic>
    <xdr:clientData/>
  </xdr:twoCellAnchor>
  <xdr:twoCellAnchor editAs="oneCell">
    <xdr:from>
      <xdr:col>6</xdr:col>
      <xdr:colOff>116732</xdr:colOff>
      <xdr:row>11</xdr:row>
      <xdr:rowOff>3253</xdr:rowOff>
    </xdr:from>
    <xdr:to>
      <xdr:col>7</xdr:col>
      <xdr:colOff>571500</xdr:colOff>
      <xdr:row>14</xdr:row>
      <xdr:rowOff>38100</xdr:rowOff>
    </xdr:to>
    <xdr:pic>
      <xdr:nvPicPr>
        <xdr:cNvPr id="6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6632" y="1959053"/>
          <a:ext cx="1127868" cy="5682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390223</xdr:colOff>
      <xdr:row>268</xdr:row>
      <xdr:rowOff>34167</xdr:rowOff>
    </xdr:from>
    <xdr:to>
      <xdr:col>6</xdr:col>
      <xdr:colOff>386794</xdr:colOff>
      <xdr:row>271</xdr:row>
      <xdr:rowOff>146751</xdr:rowOff>
    </xdr:to>
    <xdr:pic>
      <xdr:nvPicPr>
        <xdr:cNvPr id="7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9863" y="50265207"/>
          <a:ext cx="834771" cy="661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498762</xdr:colOff>
      <xdr:row>103</xdr:row>
      <xdr:rowOff>55418</xdr:rowOff>
    </xdr:from>
    <xdr:to>
      <xdr:col>4</xdr:col>
      <xdr:colOff>877624</xdr:colOff>
      <xdr:row>107</xdr:row>
      <xdr:rowOff>130923</xdr:rowOff>
    </xdr:to>
    <xdr:pic>
      <xdr:nvPicPr>
        <xdr:cNvPr id="8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144" y="20393891"/>
          <a:ext cx="1251698" cy="795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192881</xdr:colOff>
      <xdr:row>1</xdr:row>
      <xdr:rowOff>9525</xdr:rowOff>
    </xdr:from>
    <xdr:to>
      <xdr:col>9</xdr:col>
      <xdr:colOff>321468</xdr:colOff>
      <xdr:row>5</xdr:row>
      <xdr:rowOff>116682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256" y="200025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316706</xdr:colOff>
      <xdr:row>0</xdr:row>
      <xdr:rowOff>145257</xdr:rowOff>
    </xdr:from>
    <xdr:to>
      <xdr:col>9</xdr:col>
      <xdr:colOff>445293</xdr:colOff>
      <xdr:row>5</xdr:row>
      <xdr:rowOff>61914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81" y="145257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235744</xdr:colOff>
      <xdr:row>0</xdr:row>
      <xdr:rowOff>152400</xdr:rowOff>
    </xdr:from>
    <xdr:to>
      <xdr:col>9</xdr:col>
      <xdr:colOff>364331</xdr:colOff>
      <xdr:row>5</xdr:row>
      <xdr:rowOff>69057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119" y="152400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183091</xdr:colOff>
      <xdr:row>0</xdr:row>
      <xdr:rowOff>78317</xdr:rowOff>
    </xdr:from>
    <xdr:to>
      <xdr:col>9</xdr:col>
      <xdr:colOff>311678</xdr:colOff>
      <xdr:row>4</xdr:row>
      <xdr:rowOff>185474</xdr:rowOff>
    </xdr:to>
    <xdr:pic>
      <xdr:nvPicPr>
        <xdr:cNvPr id="2" name="Imagen 131" descr="Dino Marranzini в Twitter: &quot;Pequeños detalles que hacen una gran  diferencia. Aparte de que el nuevo logo es más sobrio, más &quot;limpio&quot; y más  actualizado, hace referencia al GOBIERNO y no 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174" y="78317"/>
          <a:ext cx="890587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COCINAS%20MOVILES/Cocinas%20Moviles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INA 32 OBRAS P."/>
      <sheetName val="COCINA 1"/>
      <sheetName val="COCINA 2"/>
      <sheetName val="COCINA 3"/>
      <sheetName val="COCINA 4"/>
      <sheetName val="COCINA 5"/>
      <sheetName val="COCINA 6"/>
      <sheetName val="COCINA 7"/>
      <sheetName val="COCINA 8"/>
      <sheetName val="COCINA 9"/>
      <sheetName val="COCINA 10"/>
      <sheetName val="COCINA 11"/>
      <sheetName val="COCINA 12"/>
      <sheetName val="COCINA 13"/>
      <sheetName val="COCINA 14"/>
      <sheetName val="COCINA 15"/>
      <sheetName val="COCINA 16"/>
      <sheetName val="COCINA 17"/>
      <sheetName val="COCINA 18"/>
      <sheetName val="COCINA 19"/>
      <sheetName val="COCINA 20"/>
      <sheetName val="COCINA 21"/>
      <sheetName val="COCINA 22"/>
      <sheetName val="COCINA 23"/>
      <sheetName val="COCINA 24"/>
      <sheetName val="COCINA 25"/>
      <sheetName val="COCINA 26"/>
      <sheetName val="COCINA 27"/>
      <sheetName val="COCINA 28"/>
      <sheetName val="COCINA 29"/>
      <sheetName val="COCINA 30"/>
      <sheetName val="COCINA 31"/>
      <sheetName val="COCINA 33"/>
      <sheetName val="COCINA 34"/>
      <sheetName val="COCINA 35"/>
      <sheetName val="COCINA 36"/>
      <sheetName val="COCINA 37"/>
      <sheetName val="COCINA 38"/>
      <sheetName val="COCINA 39"/>
      <sheetName val="COCINA 41"/>
      <sheetName val="RESUMEN X DIA"/>
      <sheetName val="RESUMEN X COCINA"/>
      <sheetName val="Hoja1"/>
    </sheetNames>
    <sheetDataSet>
      <sheetData sheetId="0">
        <row r="45">
          <cell r="P45">
            <v>3259535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4">
          <cell r="L54">
            <v>303743</v>
          </cell>
          <cell r="M54">
            <v>8090</v>
          </cell>
          <cell r="N54">
            <v>36373</v>
          </cell>
          <cell r="O54">
            <v>14502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8"/>
  <sheetViews>
    <sheetView showGridLines="0" topLeftCell="D25" zoomScale="56" zoomScaleNormal="56" workbookViewId="0">
      <selection activeCell="S46" sqref="S46"/>
    </sheetView>
  </sheetViews>
  <sheetFormatPr baseColWidth="10" defaultColWidth="11.44140625" defaultRowHeight="14.4" x14ac:dyDescent="0.3"/>
  <cols>
    <col min="1" max="1" width="4.109375" style="89" customWidth="1"/>
    <col min="2" max="2" width="5.44140625" style="89" customWidth="1"/>
    <col min="3" max="3" width="11.44140625" style="89"/>
    <col min="4" max="5" width="9.33203125" style="89" customWidth="1"/>
    <col min="6" max="6" width="11.5546875" style="89" customWidth="1"/>
    <col min="7" max="14" width="11.44140625" style="89"/>
    <col min="15" max="15" width="12.5546875" style="89" customWidth="1"/>
    <col min="16" max="17" width="11.44140625" style="89"/>
    <col min="18" max="18" width="14.88671875" style="89" bestFit="1" customWidth="1"/>
    <col min="19" max="19" width="17.33203125" style="89" bestFit="1" customWidth="1"/>
    <col min="20" max="21" width="11.44140625" style="89"/>
    <col min="22" max="22" width="13" style="89" bestFit="1" customWidth="1"/>
    <col min="23" max="23" width="7.6640625" style="89" bestFit="1" customWidth="1"/>
    <col min="24" max="24" width="11.44140625" style="89"/>
    <col min="25" max="25" width="12.109375" style="89" customWidth="1"/>
    <col min="26" max="16384" width="11.44140625" style="89"/>
  </cols>
  <sheetData>
    <row r="1" spans="1:42" s="196" customFormat="1" ht="15" customHeight="1" x14ac:dyDescent="0.3">
      <c r="B1" s="197"/>
      <c r="S1" s="198"/>
      <c r="Y1" s="199"/>
      <c r="Z1" s="199"/>
      <c r="AA1" s="199"/>
      <c r="AB1" s="199"/>
      <c r="AC1" s="200"/>
      <c r="AD1" s="200"/>
      <c r="AE1" s="200"/>
      <c r="AF1" s="200"/>
      <c r="AG1" s="200"/>
      <c r="AH1" s="200"/>
      <c r="AI1" s="200"/>
      <c r="AJ1" s="200"/>
      <c r="AK1" s="200"/>
      <c r="AL1" s="200"/>
    </row>
    <row r="2" spans="1:42" s="196" customFormat="1" ht="15" customHeight="1" x14ac:dyDescent="0.3">
      <c r="B2" s="197"/>
      <c r="S2" s="198"/>
      <c r="Y2" s="199"/>
      <c r="Z2" s="199"/>
      <c r="AA2" s="199"/>
      <c r="AB2" s="201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3"/>
      <c r="AN2" s="203"/>
      <c r="AO2" s="203"/>
      <c r="AP2" s="203"/>
    </row>
    <row r="3" spans="1:42" s="196" customFormat="1" ht="15" customHeight="1" x14ac:dyDescent="0.3">
      <c r="B3" s="197"/>
      <c r="S3" s="198"/>
      <c r="Y3" s="199"/>
      <c r="Z3" s="199"/>
      <c r="AA3" s="199"/>
      <c r="AB3" s="201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3"/>
      <c r="AN3" s="203"/>
      <c r="AO3" s="203"/>
      <c r="AP3" s="203"/>
    </row>
    <row r="4" spans="1:42" s="196" customFormat="1" ht="15" customHeight="1" x14ac:dyDescent="0.3">
      <c r="B4" s="197"/>
      <c r="S4" s="198"/>
      <c r="Y4" s="199"/>
      <c r="Z4" s="199"/>
      <c r="AA4" s="199"/>
      <c r="AB4" s="201"/>
      <c r="AC4" s="202"/>
      <c r="AD4" s="52"/>
      <c r="AE4" s="53"/>
      <c r="AF4" s="53"/>
      <c r="AG4" s="53"/>
      <c r="AH4" s="53"/>
      <c r="AI4" s="53"/>
      <c r="AJ4" s="53"/>
      <c r="AK4" s="53"/>
      <c r="AL4" s="53"/>
      <c r="AM4" s="53"/>
      <c r="AN4" s="16"/>
      <c r="AO4" s="53"/>
      <c r="AP4" s="16"/>
    </row>
    <row r="5" spans="1:42" s="196" customFormat="1" ht="15" customHeight="1" x14ac:dyDescent="0.3">
      <c r="B5" s="197"/>
      <c r="S5" s="198"/>
      <c r="Y5" s="199"/>
      <c r="Z5" s="199"/>
      <c r="AA5" s="199"/>
      <c r="AB5" s="201"/>
      <c r="AC5" s="202"/>
      <c r="AD5" s="52"/>
      <c r="AE5" s="53"/>
      <c r="AF5" s="53"/>
      <c r="AG5" s="53"/>
      <c r="AH5" s="53"/>
      <c r="AI5" s="53"/>
      <c r="AJ5" s="53"/>
      <c r="AK5" s="53"/>
      <c r="AL5" s="53"/>
      <c r="AM5" s="53"/>
      <c r="AN5" s="16"/>
      <c r="AO5" s="53"/>
      <c r="AP5" s="16"/>
    </row>
    <row r="6" spans="1:42" s="196" customFormat="1" ht="15" customHeight="1" x14ac:dyDescent="0.3">
      <c r="B6" s="197"/>
      <c r="S6" s="198"/>
      <c r="Y6" s="199"/>
      <c r="Z6" s="199"/>
      <c r="AA6" s="199"/>
      <c r="AB6" s="201"/>
      <c r="AC6" s="202"/>
      <c r="AD6" s="52"/>
      <c r="AE6" s="53"/>
      <c r="AF6" s="53"/>
      <c r="AG6" s="53"/>
      <c r="AH6" s="53"/>
      <c r="AI6" s="53"/>
      <c r="AJ6" s="53"/>
      <c r="AK6" s="53"/>
      <c r="AL6" s="53"/>
      <c r="AM6" s="53"/>
      <c r="AN6" s="16"/>
      <c r="AO6" s="53"/>
      <c r="AP6" s="16"/>
    </row>
    <row r="7" spans="1:42" s="196" customFormat="1" ht="15" customHeight="1" x14ac:dyDescent="0.3">
      <c r="A7" s="204"/>
      <c r="B7" s="520" t="s">
        <v>45</v>
      </c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  <c r="Y7" s="520"/>
      <c r="Z7" s="147"/>
      <c r="AA7" s="147" t="s">
        <v>38</v>
      </c>
      <c r="AB7" s="59"/>
      <c r="AC7" s="202"/>
      <c r="AD7" s="205"/>
      <c r="AE7" s="203"/>
      <c r="AF7" s="203"/>
      <c r="AG7" s="203"/>
      <c r="AH7" s="203"/>
      <c r="AI7" s="203"/>
      <c r="AJ7" s="203"/>
      <c r="AK7" s="203"/>
      <c r="AL7" s="203"/>
      <c r="AM7" s="203"/>
      <c r="AN7" s="201"/>
      <c r="AO7" s="203"/>
      <c r="AP7" s="201"/>
    </row>
    <row r="8" spans="1:42" s="196" customFormat="1" ht="15" customHeight="1" x14ac:dyDescent="0.3">
      <c r="A8" s="204"/>
      <c r="B8" s="520" t="s">
        <v>46</v>
      </c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147"/>
      <c r="AA8" s="147"/>
      <c r="AB8" s="59"/>
      <c r="AC8" s="202"/>
      <c r="AD8" s="205"/>
      <c r="AE8" s="203"/>
      <c r="AF8" s="203"/>
      <c r="AG8" s="203"/>
      <c r="AH8" s="203"/>
      <c r="AI8" s="203"/>
      <c r="AJ8" s="203"/>
      <c r="AK8" s="203"/>
      <c r="AL8" s="203"/>
      <c r="AM8" s="203"/>
      <c r="AN8" s="201"/>
      <c r="AO8" s="203"/>
      <c r="AP8" s="201"/>
    </row>
    <row r="9" spans="1:42" s="196" customFormat="1" ht="15" customHeight="1" x14ac:dyDescent="0.3">
      <c r="A9" s="204"/>
      <c r="B9" s="525" t="s">
        <v>47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147"/>
      <c r="AA9" s="147"/>
      <c r="AB9" s="59"/>
      <c r="AC9" s="202"/>
      <c r="AD9" s="205"/>
      <c r="AE9" s="203"/>
      <c r="AF9" s="203"/>
      <c r="AG9" s="203"/>
      <c r="AH9" s="203"/>
      <c r="AI9" s="203"/>
      <c r="AJ9" s="203"/>
      <c r="AK9" s="203"/>
      <c r="AL9" s="203"/>
      <c r="AM9" s="203"/>
      <c r="AN9" s="201"/>
      <c r="AO9" s="203"/>
      <c r="AP9" s="201"/>
    </row>
    <row r="10" spans="1:42" s="196" customFormat="1" ht="15" customHeight="1" x14ac:dyDescent="0.3">
      <c r="A10" s="204"/>
      <c r="C10" s="148"/>
      <c r="D10" s="148"/>
      <c r="E10" s="148"/>
      <c r="F10" s="148"/>
      <c r="G10" s="148"/>
      <c r="H10" s="402"/>
      <c r="I10" s="407"/>
      <c r="J10" s="402"/>
      <c r="K10" s="402"/>
      <c r="L10" s="399"/>
      <c r="M10" s="456"/>
      <c r="N10" s="392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60"/>
      <c r="AC10" s="206"/>
      <c r="AD10" s="205"/>
      <c r="AE10" s="203"/>
      <c r="AF10" s="203"/>
      <c r="AG10" s="203"/>
      <c r="AH10" s="203"/>
      <c r="AI10" s="203"/>
      <c r="AJ10" s="203"/>
      <c r="AK10" s="203"/>
      <c r="AL10" s="203"/>
      <c r="AM10" s="203"/>
      <c r="AN10" s="201"/>
      <c r="AO10" s="203"/>
      <c r="AP10" s="201"/>
    </row>
    <row r="11" spans="1:42" s="196" customFormat="1" ht="15" customHeight="1" x14ac:dyDescent="0.3">
      <c r="B11" s="17"/>
      <c r="C11" s="148"/>
      <c r="D11" s="148"/>
      <c r="E11" s="148"/>
      <c r="F11" s="148"/>
      <c r="G11" s="148"/>
      <c r="H11" s="402"/>
      <c r="I11" s="407"/>
      <c r="J11" s="402"/>
      <c r="K11" s="402"/>
      <c r="L11" s="399"/>
      <c r="M11" s="456"/>
      <c r="N11" s="392"/>
      <c r="O11" s="148"/>
      <c r="P11" s="148"/>
      <c r="Q11" s="148"/>
      <c r="R11" s="148"/>
      <c r="S11" s="18"/>
      <c r="T11" s="148"/>
      <c r="U11" s="148"/>
      <c r="V11" s="148"/>
      <c r="W11" s="148"/>
      <c r="X11" s="148"/>
      <c r="Y11" s="19"/>
      <c r="Z11" s="19"/>
      <c r="AA11" s="19"/>
      <c r="AB11" s="61"/>
      <c r="AC11" s="206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s="196" customFormat="1" ht="15" customHeight="1" x14ac:dyDescent="0.35">
      <c r="B12" s="39" t="s">
        <v>48</v>
      </c>
      <c r="C12" s="40"/>
      <c r="D12" s="524" t="s">
        <v>59</v>
      </c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  <c r="R12" s="524"/>
      <c r="S12" s="34" t="s">
        <v>49</v>
      </c>
      <c r="T12" s="50" t="s">
        <v>249</v>
      </c>
      <c r="U12" s="50"/>
      <c r="V12" s="50"/>
      <c r="W12" s="50"/>
      <c r="X12" s="35"/>
      <c r="Y12" s="51">
        <v>2022</v>
      </c>
      <c r="Z12" s="20"/>
      <c r="AA12" s="20"/>
      <c r="AB12" s="54"/>
      <c r="AC12" s="202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3" spans="1:42" s="196" customFormat="1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0"/>
      <c r="AA13" s="20"/>
      <c r="AB13" s="54"/>
      <c r="AC13" s="202"/>
      <c r="AD13" s="62"/>
      <c r="AE13" s="60"/>
      <c r="AF13" s="60"/>
      <c r="AG13" s="60"/>
      <c r="AH13" s="60"/>
      <c r="AI13" s="60"/>
      <c r="AJ13" s="60"/>
      <c r="AK13" s="60"/>
      <c r="AL13" s="60"/>
      <c r="AM13" s="60"/>
      <c r="AN13" s="61"/>
      <c r="AO13" s="60"/>
      <c r="AP13" s="61"/>
    </row>
    <row r="14" spans="1:42" s="196" customFormat="1" ht="19.5" customHeight="1" thickBot="1" x14ac:dyDescent="0.35">
      <c r="B14" s="152"/>
      <c r="D14" s="526" t="s">
        <v>50</v>
      </c>
      <c r="E14" s="527"/>
      <c r="F14" s="528"/>
      <c r="G14" s="167"/>
      <c r="H14" s="403"/>
      <c r="I14" s="408"/>
      <c r="J14" s="403"/>
      <c r="K14" s="403"/>
      <c r="L14" s="400"/>
      <c r="M14" s="457"/>
      <c r="N14" s="393"/>
      <c r="O14" s="168" t="s">
        <v>29</v>
      </c>
      <c r="P14" s="168"/>
      <c r="Q14" s="169"/>
      <c r="R14" s="521" t="s">
        <v>30</v>
      </c>
      <c r="S14" s="522"/>
      <c r="T14" s="522"/>
      <c r="U14" s="522"/>
      <c r="V14" s="522"/>
      <c r="W14" s="522"/>
      <c r="X14" s="523"/>
      <c r="Y14" s="158" t="s">
        <v>51</v>
      </c>
      <c r="Z14" s="22"/>
      <c r="AA14" s="22"/>
      <c r="AB14" s="22"/>
      <c r="AC14" s="23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</row>
    <row r="15" spans="1:42" s="196" customFormat="1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0" t="s">
        <v>80</v>
      </c>
      <c r="H15" s="395" t="s">
        <v>220</v>
      </c>
      <c r="I15" s="395" t="s">
        <v>207</v>
      </c>
      <c r="J15" s="395" t="s">
        <v>231</v>
      </c>
      <c r="K15" s="395" t="s">
        <v>238</v>
      </c>
      <c r="L15" s="395" t="s">
        <v>223</v>
      </c>
      <c r="M15" s="395" t="s">
        <v>246</v>
      </c>
      <c r="N15" s="395" t="s">
        <v>236</v>
      </c>
      <c r="O15" s="394" t="s">
        <v>216</v>
      </c>
      <c r="P15" s="160" t="s">
        <v>211</v>
      </c>
      <c r="Q15" s="173" t="s">
        <v>184</v>
      </c>
      <c r="R15" s="247" t="s">
        <v>186</v>
      </c>
      <c r="S15" s="248" t="s">
        <v>187</v>
      </c>
      <c r="T15" s="249" t="s">
        <v>188</v>
      </c>
      <c r="U15" s="155" t="s">
        <v>182</v>
      </c>
      <c r="V15" s="188" t="s">
        <v>81</v>
      </c>
      <c r="W15" s="189" t="s">
        <v>82</v>
      </c>
      <c r="X15" s="156" t="s">
        <v>185</v>
      </c>
      <c r="Y15" s="159" t="s">
        <v>58</v>
      </c>
      <c r="Z15" s="24"/>
      <c r="AA15" s="24"/>
      <c r="AB15" s="24"/>
      <c r="AC15" s="25"/>
      <c r="AD15" s="55"/>
      <c r="AE15" s="55"/>
      <c r="AF15" s="55"/>
      <c r="AG15" s="55"/>
      <c r="AH15" s="55"/>
      <c r="AI15" s="54"/>
      <c r="AJ15" s="54"/>
      <c r="AK15" s="54"/>
      <c r="AL15" s="54"/>
      <c r="AM15" s="54"/>
      <c r="AN15" s="54"/>
      <c r="AO15" s="56"/>
      <c r="AP15" s="63"/>
    </row>
    <row r="16" spans="1:42" s="196" customFormat="1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>
        <v>78</v>
      </c>
      <c r="H16" s="210"/>
      <c r="I16" s="210"/>
      <c r="J16" s="210">
        <v>120</v>
      </c>
      <c r="K16" s="210">
        <v>107</v>
      </c>
      <c r="L16" s="210">
        <v>108</v>
      </c>
      <c r="M16" s="210">
        <v>35</v>
      </c>
      <c r="N16" s="210"/>
      <c r="O16" s="211">
        <v>14</v>
      </c>
      <c r="P16" s="212">
        <v>300</v>
      </c>
      <c r="Q16" s="176">
        <f>SUM(G16:P16)</f>
        <v>762</v>
      </c>
      <c r="R16" s="250">
        <v>125</v>
      </c>
      <c r="S16" s="251">
        <f>250+200+130+100+100+90+100+60+70+50+40+30+21+15+10+10+10+70+125</f>
        <v>1481</v>
      </c>
      <c r="T16" s="252"/>
      <c r="U16" s="256">
        <f>R16+T16+S16</f>
        <v>1606</v>
      </c>
      <c r="V16" s="213"/>
      <c r="W16" s="214"/>
      <c r="X16" s="347">
        <f>+W16+V16+U16</f>
        <v>1606</v>
      </c>
      <c r="Y16" s="183">
        <f>+X16+Q16+F16</f>
        <v>2368</v>
      </c>
      <c r="Z16" s="215"/>
      <c r="AA16" s="215"/>
      <c r="AB16" s="22"/>
      <c r="AC16" s="202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2:42" s="196" customFormat="1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>
        <v>78</v>
      </c>
      <c r="H17" s="210"/>
      <c r="I17" s="210"/>
      <c r="J17" s="210">
        <v>120</v>
      </c>
      <c r="K17" s="210">
        <v>107</v>
      </c>
      <c r="L17" s="210">
        <v>108</v>
      </c>
      <c r="M17" s="210">
        <v>40</v>
      </c>
      <c r="N17" s="210"/>
      <c r="O17" s="211">
        <v>12</v>
      </c>
      <c r="P17" s="212">
        <v>250</v>
      </c>
      <c r="Q17" s="176">
        <f t="shared" ref="Q17:Q46" si="1">SUM(G17:P17)</f>
        <v>715</v>
      </c>
      <c r="R17" s="250">
        <v>125</v>
      </c>
      <c r="S17" s="251">
        <f>70+100+50+50+10+10+10+15+21+30+40+50+70+60+90+100+200+130+125+100+250+300</f>
        <v>1881</v>
      </c>
      <c r="T17" s="252"/>
      <c r="U17" s="256">
        <f t="shared" ref="U17:U46" si="2">R17+T17+S17</f>
        <v>2006</v>
      </c>
      <c r="V17" s="213"/>
      <c r="W17" s="214"/>
      <c r="X17" s="347">
        <f t="shared" ref="X17:X46" si="3">+W17+V17+U17</f>
        <v>2006</v>
      </c>
      <c r="Y17" s="183">
        <f t="shared" ref="Y17:Y46" si="4">+X17+Q17+F17</f>
        <v>2721</v>
      </c>
      <c r="Z17" s="215"/>
      <c r="AA17" s="215"/>
      <c r="AB17" s="22"/>
      <c r="AC17" s="202"/>
      <c r="AD17" s="64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6"/>
    </row>
    <row r="18" spans="2:42" s="196" customFormat="1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0"/>
      <c r="I18" s="210"/>
      <c r="J18" s="210"/>
      <c r="K18" s="210"/>
      <c r="L18" s="210"/>
      <c r="M18" s="210"/>
      <c r="N18" s="210"/>
      <c r="O18" s="211"/>
      <c r="P18" s="212"/>
      <c r="Q18" s="176">
        <f t="shared" si="1"/>
        <v>0</v>
      </c>
      <c r="R18" s="250"/>
      <c r="S18" s="251"/>
      <c r="T18" s="252"/>
      <c r="U18" s="256">
        <f t="shared" si="2"/>
        <v>0</v>
      </c>
      <c r="V18" s="213"/>
      <c r="W18" s="214"/>
      <c r="X18" s="347">
        <f t="shared" si="3"/>
        <v>0</v>
      </c>
      <c r="Y18" s="183">
        <f t="shared" si="4"/>
        <v>0</v>
      </c>
      <c r="Z18" s="215"/>
      <c r="AA18" s="215"/>
      <c r="AB18" s="22"/>
      <c r="AC18" s="202"/>
      <c r="AD18" s="52"/>
      <c r="AE18" s="67"/>
      <c r="AF18" s="67"/>
      <c r="AG18" s="67"/>
      <c r="AH18" s="67"/>
      <c r="AI18" s="67"/>
      <c r="AJ18" s="67"/>
      <c r="AK18" s="67"/>
      <c r="AL18" s="67"/>
      <c r="AM18" s="67"/>
      <c r="AN18" s="16"/>
      <c r="AO18" s="67"/>
      <c r="AP18" s="16"/>
    </row>
    <row r="19" spans="2:42" s="196" customFormat="1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0"/>
      <c r="I19" s="210"/>
      <c r="J19" s="210"/>
      <c r="K19" s="210"/>
      <c r="L19" s="210"/>
      <c r="M19" s="210"/>
      <c r="N19" s="210"/>
      <c r="O19" s="211"/>
      <c r="P19" s="212"/>
      <c r="Q19" s="176">
        <f t="shared" si="1"/>
        <v>0</v>
      </c>
      <c r="R19" s="250"/>
      <c r="S19" s="251"/>
      <c r="T19" s="252"/>
      <c r="U19" s="256">
        <f t="shared" si="2"/>
        <v>0</v>
      </c>
      <c r="V19" s="213"/>
      <c r="W19" s="214"/>
      <c r="X19" s="347">
        <f t="shared" si="3"/>
        <v>0</v>
      </c>
      <c r="Y19" s="183">
        <f t="shared" si="4"/>
        <v>0</v>
      </c>
      <c r="Z19" s="215"/>
      <c r="AA19" s="215"/>
      <c r="AB19" s="22"/>
      <c r="AC19" s="202"/>
      <c r="AD19" s="52"/>
      <c r="AE19" s="67"/>
      <c r="AF19" s="67"/>
      <c r="AG19" s="67"/>
      <c r="AH19" s="67"/>
      <c r="AI19" s="67"/>
      <c r="AJ19" s="67"/>
      <c r="AK19" s="67"/>
      <c r="AL19" s="67"/>
      <c r="AM19" s="67"/>
      <c r="AN19" s="16"/>
      <c r="AO19" s="67"/>
      <c r="AP19" s="16"/>
    </row>
    <row r="20" spans="2:42" s="196" customFormat="1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>
        <v>78</v>
      </c>
      <c r="H20" s="210"/>
      <c r="I20" s="210"/>
      <c r="J20" s="210">
        <v>120</v>
      </c>
      <c r="K20" s="210">
        <v>107</v>
      </c>
      <c r="L20" s="210">
        <v>108</v>
      </c>
      <c r="M20" s="210">
        <v>35</v>
      </c>
      <c r="N20" s="210"/>
      <c r="O20" s="211">
        <v>14</v>
      </c>
      <c r="P20" s="212">
        <v>300</v>
      </c>
      <c r="Q20" s="176">
        <f t="shared" si="1"/>
        <v>762</v>
      </c>
      <c r="R20" s="250">
        <v>125</v>
      </c>
      <c r="S20" s="251">
        <f>250+200+130+125+100+100+90+100+60+70+50+40+30+21+15+10+10+10+50+75</f>
        <v>1536</v>
      </c>
      <c r="T20" s="252"/>
      <c r="U20" s="256">
        <f t="shared" si="2"/>
        <v>1661</v>
      </c>
      <c r="V20" s="213"/>
      <c r="W20" s="214"/>
      <c r="X20" s="347">
        <f t="shared" si="3"/>
        <v>1661</v>
      </c>
      <c r="Y20" s="183">
        <f t="shared" si="4"/>
        <v>2423</v>
      </c>
      <c r="Z20" s="215"/>
      <c r="AA20" s="215"/>
      <c r="AB20" s="22"/>
      <c r="AC20" s="202"/>
      <c r="AD20" s="52"/>
      <c r="AE20" s="67"/>
      <c r="AF20" s="67"/>
      <c r="AG20" s="67"/>
      <c r="AH20" s="67"/>
      <c r="AI20" s="53"/>
      <c r="AJ20" s="53"/>
      <c r="AK20" s="53"/>
      <c r="AL20" s="53"/>
      <c r="AM20" s="53"/>
      <c r="AN20" s="219"/>
      <c r="AO20" s="220"/>
      <c r="AP20" s="16"/>
    </row>
    <row r="21" spans="2:42" s="196" customFormat="1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>
        <v>78</v>
      </c>
      <c r="H21" s="210"/>
      <c r="I21" s="210"/>
      <c r="J21" s="210">
        <v>120</v>
      </c>
      <c r="K21" s="210"/>
      <c r="L21" s="210">
        <v>108</v>
      </c>
      <c r="M21" s="210">
        <v>40</v>
      </c>
      <c r="N21" s="210"/>
      <c r="O21" s="211">
        <v>17</v>
      </c>
      <c r="P21" s="212">
        <v>250</v>
      </c>
      <c r="Q21" s="176">
        <f t="shared" si="1"/>
        <v>613</v>
      </c>
      <c r="R21" s="250">
        <v>125</v>
      </c>
      <c r="S21" s="251">
        <f>250+200+130+125+100+100+90+100+60+70+50+40+30+21+15+10+10+50+107</f>
        <v>1558</v>
      </c>
      <c r="T21" s="252"/>
      <c r="U21" s="256">
        <f t="shared" si="2"/>
        <v>1683</v>
      </c>
      <c r="V21" s="213"/>
      <c r="W21" s="214"/>
      <c r="X21" s="347">
        <f t="shared" si="3"/>
        <v>1683</v>
      </c>
      <c r="Y21" s="183">
        <f t="shared" si="4"/>
        <v>2296</v>
      </c>
      <c r="Z21" s="215"/>
      <c r="AA21" s="215"/>
      <c r="AB21" s="22"/>
      <c r="AC21" s="202"/>
      <c r="AD21" s="52"/>
      <c r="AE21" s="67"/>
      <c r="AF21" s="67"/>
      <c r="AG21" s="67"/>
      <c r="AH21" s="67"/>
      <c r="AI21" s="53"/>
      <c r="AJ21" s="53"/>
      <c r="AK21" s="53"/>
      <c r="AL21" s="53"/>
      <c r="AM21" s="53"/>
      <c r="AN21" s="219"/>
      <c r="AO21" s="220"/>
      <c r="AP21" s="16"/>
    </row>
    <row r="22" spans="2:42" s="196" customFormat="1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>
        <v>78</v>
      </c>
      <c r="H22" s="210"/>
      <c r="I22" s="210"/>
      <c r="J22" s="210">
        <v>120</v>
      </c>
      <c r="K22" s="210">
        <v>107</v>
      </c>
      <c r="L22" s="210">
        <v>108</v>
      </c>
      <c r="M22" s="210">
        <v>40</v>
      </c>
      <c r="N22" s="210"/>
      <c r="O22" s="211">
        <v>18</v>
      </c>
      <c r="P22" s="212">
        <v>300</v>
      </c>
      <c r="Q22" s="176">
        <f t="shared" si="1"/>
        <v>771</v>
      </c>
      <c r="R22" s="250">
        <v>125</v>
      </c>
      <c r="S22" s="251">
        <f>250+200+130+125+100+100+90+70+60+50+40+30+21+10+10+50+15</f>
        <v>1351</v>
      </c>
      <c r="T22" s="252"/>
      <c r="U22" s="256">
        <f t="shared" si="2"/>
        <v>1476</v>
      </c>
      <c r="V22" s="213"/>
      <c r="W22" s="214"/>
      <c r="X22" s="347">
        <f t="shared" si="3"/>
        <v>1476</v>
      </c>
      <c r="Y22" s="183">
        <f t="shared" si="4"/>
        <v>2247</v>
      </c>
      <c r="Z22" s="215"/>
      <c r="AA22" s="215"/>
      <c r="AB22" s="22"/>
      <c r="AC22" s="202"/>
      <c r="AD22" s="52"/>
      <c r="AE22" s="67"/>
      <c r="AF22" s="67"/>
      <c r="AG22" s="67"/>
      <c r="AH22" s="67"/>
      <c r="AI22" s="53"/>
      <c r="AJ22" s="53"/>
      <c r="AK22" s="53"/>
      <c r="AL22" s="53"/>
      <c r="AM22" s="53"/>
      <c r="AN22" s="219"/>
      <c r="AO22" s="220"/>
      <c r="AP22" s="16"/>
    </row>
    <row r="23" spans="2:42" s="196" customFormat="1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>
        <v>78</v>
      </c>
      <c r="H23" s="210"/>
      <c r="I23" s="210"/>
      <c r="J23" s="210">
        <v>120</v>
      </c>
      <c r="K23" s="210">
        <v>107</v>
      </c>
      <c r="L23" s="210">
        <v>108</v>
      </c>
      <c r="M23" s="210">
        <v>40</v>
      </c>
      <c r="N23" s="210"/>
      <c r="O23" s="211">
        <v>18</v>
      </c>
      <c r="P23" s="212">
        <v>250</v>
      </c>
      <c r="Q23" s="176">
        <f t="shared" si="1"/>
        <v>721</v>
      </c>
      <c r="R23" s="250">
        <v>125</v>
      </c>
      <c r="S23" s="251">
        <f>250+60+50+10+10+15+21+30+40+50+70+100+90+100+100+125+130+200</f>
        <v>1451</v>
      </c>
      <c r="T23" s="252"/>
      <c r="U23" s="256">
        <f t="shared" si="2"/>
        <v>1576</v>
      </c>
      <c r="V23" s="213"/>
      <c r="W23" s="214"/>
      <c r="X23" s="347">
        <f t="shared" si="3"/>
        <v>1576</v>
      </c>
      <c r="Y23" s="183">
        <f t="shared" si="4"/>
        <v>2297</v>
      </c>
      <c r="Z23" s="215"/>
      <c r="AA23" s="215"/>
      <c r="AB23" s="22"/>
      <c r="AC23" s="202"/>
      <c r="AD23" s="52"/>
      <c r="AE23" s="67"/>
      <c r="AF23" s="67"/>
      <c r="AG23" s="67"/>
      <c r="AH23" s="67"/>
      <c r="AI23" s="53"/>
      <c r="AJ23" s="53"/>
      <c r="AK23" s="53"/>
      <c r="AL23" s="53"/>
      <c r="AM23" s="53"/>
      <c r="AN23" s="219"/>
      <c r="AO23" s="220"/>
      <c r="AP23" s="16"/>
    </row>
    <row r="24" spans="2:42" s="196" customFormat="1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>
        <v>78</v>
      </c>
      <c r="H24" s="210"/>
      <c r="I24" s="210"/>
      <c r="J24" s="210">
        <v>120</v>
      </c>
      <c r="K24" s="210">
        <v>107</v>
      </c>
      <c r="L24" s="210">
        <v>108</v>
      </c>
      <c r="M24" s="210">
        <v>40</v>
      </c>
      <c r="N24" s="210"/>
      <c r="O24" s="211">
        <v>20</v>
      </c>
      <c r="P24" s="212">
        <v>325</v>
      </c>
      <c r="Q24" s="176">
        <f t="shared" si="1"/>
        <v>798</v>
      </c>
      <c r="R24" s="250">
        <v>125</v>
      </c>
      <c r="S24" s="251">
        <f>200+50+10+10+15+21+30+40+50+60+70+100+90+100+100+125+130+250+75</f>
        <v>1526</v>
      </c>
      <c r="T24" s="252"/>
      <c r="U24" s="256">
        <f t="shared" si="2"/>
        <v>1651</v>
      </c>
      <c r="V24" s="213"/>
      <c r="W24" s="214"/>
      <c r="X24" s="347">
        <f t="shared" si="3"/>
        <v>1651</v>
      </c>
      <c r="Y24" s="183">
        <f t="shared" si="4"/>
        <v>2449</v>
      </c>
      <c r="Z24" s="215"/>
      <c r="AA24" s="215"/>
      <c r="AB24" s="22"/>
      <c r="AC24" s="202"/>
      <c r="AD24" s="68"/>
      <c r="AE24" s="222"/>
      <c r="AF24" s="222"/>
      <c r="AG24" s="222"/>
      <c r="AH24" s="222"/>
      <c r="AI24" s="220"/>
      <c r="AJ24" s="220"/>
      <c r="AK24" s="220"/>
      <c r="AL24" s="220"/>
      <c r="AM24" s="53"/>
      <c r="AN24" s="219"/>
      <c r="AO24" s="223"/>
      <c r="AP24" s="16"/>
    </row>
    <row r="25" spans="2:42" s="196" customFormat="1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0"/>
      <c r="I25" s="210"/>
      <c r="J25" s="210"/>
      <c r="K25" s="210"/>
      <c r="L25" s="210"/>
      <c r="M25" s="210"/>
      <c r="N25" s="210"/>
      <c r="O25" s="211"/>
      <c r="P25" s="212"/>
      <c r="Q25" s="176">
        <f t="shared" si="1"/>
        <v>0</v>
      </c>
      <c r="R25" s="250"/>
      <c r="S25" s="251"/>
      <c r="T25" s="252"/>
      <c r="U25" s="256">
        <f t="shared" si="2"/>
        <v>0</v>
      </c>
      <c r="V25" s="213"/>
      <c r="W25" s="214"/>
      <c r="X25" s="347">
        <f t="shared" si="3"/>
        <v>0</v>
      </c>
      <c r="Y25" s="183">
        <f t="shared" si="4"/>
        <v>0</v>
      </c>
      <c r="Z25" s="215"/>
      <c r="AA25" s="215"/>
      <c r="AB25" s="22"/>
      <c r="AC25" s="202"/>
      <c r="AD25" s="52"/>
      <c r="AE25" s="67"/>
      <c r="AF25" s="67"/>
      <c r="AG25" s="67"/>
      <c r="AH25" s="67"/>
      <c r="AI25" s="53"/>
      <c r="AJ25" s="53"/>
      <c r="AK25" s="53"/>
      <c r="AL25" s="53"/>
      <c r="AM25" s="53"/>
      <c r="AN25" s="219"/>
      <c r="AO25" s="220"/>
      <c r="AP25" s="16"/>
    </row>
    <row r="26" spans="2:42" s="196" customFormat="1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0"/>
      <c r="I26" s="210"/>
      <c r="J26" s="210"/>
      <c r="K26" s="210"/>
      <c r="L26" s="210"/>
      <c r="M26" s="210"/>
      <c r="N26" s="210"/>
      <c r="O26" s="211"/>
      <c r="P26" s="212"/>
      <c r="Q26" s="176">
        <f t="shared" si="1"/>
        <v>0</v>
      </c>
      <c r="R26" s="250"/>
      <c r="S26" s="251"/>
      <c r="T26" s="252"/>
      <c r="U26" s="256">
        <f t="shared" si="2"/>
        <v>0</v>
      </c>
      <c r="V26" s="213"/>
      <c r="W26" s="214"/>
      <c r="X26" s="347">
        <f t="shared" si="3"/>
        <v>0</v>
      </c>
      <c r="Y26" s="183">
        <f t="shared" si="4"/>
        <v>0</v>
      </c>
      <c r="Z26" s="215"/>
      <c r="AA26" s="215"/>
      <c r="AB26" s="22"/>
      <c r="AC26" s="202"/>
      <c r="AD26" s="52"/>
      <c r="AE26" s="67"/>
      <c r="AF26" s="67"/>
      <c r="AG26" s="67"/>
      <c r="AH26" s="67"/>
      <c r="AI26" s="53"/>
      <c r="AJ26" s="53"/>
      <c r="AK26" s="53"/>
      <c r="AL26" s="53"/>
      <c r="AM26" s="53"/>
      <c r="AN26" s="219"/>
      <c r="AO26" s="220"/>
      <c r="AP26" s="16"/>
    </row>
    <row r="27" spans="2:42" s="196" customFormat="1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>
        <v>78</v>
      </c>
      <c r="H27" s="210"/>
      <c r="I27" s="210"/>
      <c r="J27" s="210">
        <v>120</v>
      </c>
      <c r="K27" s="210">
        <v>107</v>
      </c>
      <c r="L27" s="210">
        <v>108</v>
      </c>
      <c r="M27" s="210">
        <v>35</v>
      </c>
      <c r="N27" s="210"/>
      <c r="O27" s="211">
        <v>17</v>
      </c>
      <c r="P27" s="212">
        <v>250</v>
      </c>
      <c r="Q27" s="176">
        <f t="shared" si="1"/>
        <v>715</v>
      </c>
      <c r="R27" s="250">
        <v>125</v>
      </c>
      <c r="S27" s="251">
        <f>250+200+130+125+100+100+90+100+70+60+50+40+21+15+10+10+50+60+30</f>
        <v>1511</v>
      </c>
      <c r="T27" s="252"/>
      <c r="U27" s="256">
        <f t="shared" si="2"/>
        <v>1636</v>
      </c>
      <c r="V27" s="213"/>
      <c r="W27" s="214"/>
      <c r="X27" s="347">
        <f t="shared" si="3"/>
        <v>1636</v>
      </c>
      <c r="Y27" s="183">
        <f t="shared" si="4"/>
        <v>2351</v>
      </c>
      <c r="Z27" s="215"/>
      <c r="AA27" s="215"/>
      <c r="AB27" s="202"/>
      <c r="AC27" s="202"/>
      <c r="AD27" s="52"/>
      <c r="AE27" s="67"/>
      <c r="AF27" s="67"/>
      <c r="AG27" s="67"/>
      <c r="AH27" s="67"/>
      <c r="AI27" s="53"/>
      <c r="AJ27" s="53"/>
      <c r="AK27" s="53"/>
      <c r="AL27" s="53"/>
      <c r="AM27" s="53"/>
      <c r="AN27" s="219"/>
      <c r="AO27" s="220"/>
      <c r="AP27" s="16"/>
    </row>
    <row r="28" spans="2:42" s="196" customFormat="1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>
        <v>78</v>
      </c>
      <c r="H28" s="210"/>
      <c r="I28" s="210"/>
      <c r="J28" s="210">
        <v>120</v>
      </c>
      <c r="K28" s="210">
        <v>107</v>
      </c>
      <c r="L28" s="210">
        <v>108</v>
      </c>
      <c r="M28" s="210">
        <v>35</v>
      </c>
      <c r="N28" s="210"/>
      <c r="O28" s="211">
        <v>17</v>
      </c>
      <c r="P28" s="212">
        <v>250</v>
      </c>
      <c r="Q28" s="176">
        <f t="shared" si="1"/>
        <v>715</v>
      </c>
      <c r="R28" s="250">
        <v>125</v>
      </c>
      <c r="S28" s="251">
        <f>250+200+130+125+100+100+90+70+60+50+40+21+15+10+10+50</f>
        <v>1321</v>
      </c>
      <c r="T28" s="252"/>
      <c r="U28" s="256">
        <f t="shared" si="2"/>
        <v>1446</v>
      </c>
      <c r="V28" s="213"/>
      <c r="W28" s="214"/>
      <c r="X28" s="347">
        <f t="shared" si="3"/>
        <v>1446</v>
      </c>
      <c r="Y28" s="183">
        <f t="shared" si="4"/>
        <v>2161</v>
      </c>
      <c r="Z28" s="215"/>
      <c r="AA28" s="215"/>
      <c r="AB28" s="202"/>
      <c r="AC28" s="202"/>
      <c r="AD28" s="52"/>
      <c r="AE28" s="67"/>
      <c r="AF28" s="67"/>
      <c r="AG28" s="67"/>
      <c r="AH28" s="67"/>
      <c r="AI28" s="53"/>
      <c r="AJ28" s="53"/>
      <c r="AK28" s="53"/>
      <c r="AL28" s="53"/>
      <c r="AM28" s="53"/>
      <c r="AN28" s="219"/>
      <c r="AO28" s="220"/>
      <c r="AP28" s="16"/>
    </row>
    <row r="29" spans="2:42" s="196" customFormat="1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>
        <v>78</v>
      </c>
      <c r="H29" s="210"/>
      <c r="I29" s="210"/>
      <c r="J29" s="210">
        <v>120</v>
      </c>
      <c r="K29" s="210">
        <v>107</v>
      </c>
      <c r="L29" s="210">
        <v>108</v>
      </c>
      <c r="M29" s="210">
        <v>35</v>
      </c>
      <c r="N29" s="210"/>
      <c r="O29" s="211">
        <v>15</v>
      </c>
      <c r="P29" s="212">
        <v>300</v>
      </c>
      <c r="Q29" s="176">
        <f t="shared" si="1"/>
        <v>763</v>
      </c>
      <c r="R29" s="250">
        <v>125</v>
      </c>
      <c r="S29" s="251">
        <f>250+250+200+130+125+100+100+100+90+70+60+50+50+40+21+15+10+10</f>
        <v>1671</v>
      </c>
      <c r="T29" s="252"/>
      <c r="U29" s="256">
        <f t="shared" si="2"/>
        <v>1796</v>
      </c>
      <c r="V29" s="213"/>
      <c r="W29" s="214"/>
      <c r="X29" s="347">
        <f t="shared" si="3"/>
        <v>1796</v>
      </c>
      <c r="Y29" s="183">
        <f t="shared" si="4"/>
        <v>2559</v>
      </c>
      <c r="Z29" s="215"/>
      <c r="AA29" s="215"/>
      <c r="AB29" s="202"/>
      <c r="AC29" s="202"/>
      <c r="AD29" s="52"/>
      <c r="AE29" s="67"/>
      <c r="AF29" s="67"/>
      <c r="AG29" s="67"/>
      <c r="AH29" s="67"/>
      <c r="AI29" s="53"/>
      <c r="AJ29" s="53"/>
      <c r="AK29" s="53"/>
      <c r="AL29" s="53"/>
      <c r="AM29" s="53"/>
      <c r="AN29" s="219"/>
      <c r="AO29" s="220"/>
      <c r="AP29" s="16"/>
    </row>
    <row r="30" spans="2:42" s="196" customFormat="1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>
        <v>78</v>
      </c>
      <c r="H30" s="210"/>
      <c r="I30" s="210"/>
      <c r="J30" s="210">
        <v>120</v>
      </c>
      <c r="K30" s="210">
        <v>107</v>
      </c>
      <c r="L30" s="210">
        <v>108</v>
      </c>
      <c r="M30" s="210">
        <v>35</v>
      </c>
      <c r="N30" s="210"/>
      <c r="O30" s="211">
        <v>18</v>
      </c>
      <c r="P30" s="212">
        <v>300</v>
      </c>
      <c r="Q30" s="176">
        <f t="shared" si="1"/>
        <v>766</v>
      </c>
      <c r="R30" s="250">
        <v>125</v>
      </c>
      <c r="S30" s="251">
        <f>250+200+125+130+100+100+90+100+70+60+50+40+30+21+15+10+10+50+200+150</f>
        <v>1801</v>
      </c>
      <c r="T30" s="252"/>
      <c r="U30" s="256">
        <f t="shared" si="2"/>
        <v>1926</v>
      </c>
      <c r="V30" s="213"/>
      <c r="W30" s="214"/>
      <c r="X30" s="347">
        <f t="shared" si="3"/>
        <v>1926</v>
      </c>
      <c r="Y30" s="183">
        <f t="shared" si="4"/>
        <v>2692</v>
      </c>
      <c r="Z30" s="215"/>
      <c r="AA30" s="215"/>
      <c r="AB30" s="202"/>
      <c r="AC30" s="202"/>
      <c r="AD30" s="52"/>
      <c r="AE30" s="67"/>
      <c r="AF30" s="67"/>
      <c r="AG30" s="67"/>
      <c r="AH30" s="67"/>
      <c r="AI30" s="53"/>
      <c r="AJ30" s="53"/>
      <c r="AK30" s="53"/>
      <c r="AL30" s="53"/>
      <c r="AM30" s="53"/>
      <c r="AN30" s="219"/>
      <c r="AO30" s="220"/>
      <c r="AP30" s="16"/>
    </row>
    <row r="31" spans="2:42" s="196" customFormat="1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>
        <v>78</v>
      </c>
      <c r="H31" s="210"/>
      <c r="I31" s="210"/>
      <c r="J31" s="210">
        <v>120</v>
      </c>
      <c r="K31" s="210">
        <v>107</v>
      </c>
      <c r="L31" s="210">
        <v>108</v>
      </c>
      <c r="M31" s="210">
        <v>35</v>
      </c>
      <c r="N31" s="210"/>
      <c r="O31" s="211">
        <v>17</v>
      </c>
      <c r="P31" s="212">
        <v>250</v>
      </c>
      <c r="Q31" s="176">
        <f t="shared" si="1"/>
        <v>715</v>
      </c>
      <c r="R31" s="250">
        <v>125</v>
      </c>
      <c r="S31" s="251">
        <f>250+200+130+125+100+100+90+70+60+50+40+30+21+15+10</f>
        <v>1291</v>
      </c>
      <c r="T31" s="252"/>
      <c r="U31" s="256">
        <f t="shared" si="2"/>
        <v>1416</v>
      </c>
      <c r="V31" s="213"/>
      <c r="W31" s="214"/>
      <c r="X31" s="347">
        <f t="shared" si="3"/>
        <v>1416</v>
      </c>
      <c r="Y31" s="183">
        <f t="shared" si="4"/>
        <v>2131</v>
      </c>
      <c r="Z31" s="215"/>
      <c r="AA31" s="215"/>
      <c r="AB31" s="202"/>
      <c r="AC31" s="202"/>
      <c r="AD31" s="52"/>
      <c r="AE31" s="67"/>
      <c r="AF31" s="67"/>
      <c r="AG31" s="67"/>
      <c r="AH31" s="67"/>
      <c r="AI31" s="53"/>
      <c r="AJ31" s="53"/>
      <c r="AK31" s="53"/>
      <c r="AL31" s="53"/>
      <c r="AM31" s="53"/>
      <c r="AN31" s="219"/>
      <c r="AO31" s="220"/>
      <c r="AP31" s="16"/>
    </row>
    <row r="32" spans="2:42" s="196" customFormat="1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0"/>
      <c r="I32" s="210"/>
      <c r="J32" s="210"/>
      <c r="K32" s="210"/>
      <c r="L32" s="210"/>
      <c r="M32" s="210"/>
      <c r="N32" s="210"/>
      <c r="O32" s="211"/>
      <c r="P32" s="212"/>
      <c r="Q32" s="176">
        <f t="shared" si="1"/>
        <v>0</v>
      </c>
      <c r="R32" s="250">
        <v>15</v>
      </c>
      <c r="S32" s="251">
        <f>35+100+150+35+50+800+75+5+150+75</f>
        <v>1475</v>
      </c>
      <c r="T32" s="252"/>
      <c r="U32" s="256">
        <f t="shared" si="2"/>
        <v>1490</v>
      </c>
      <c r="V32" s="213"/>
      <c r="W32" s="214"/>
      <c r="X32" s="347">
        <f t="shared" si="3"/>
        <v>1490</v>
      </c>
      <c r="Y32" s="183">
        <f t="shared" si="4"/>
        <v>1490</v>
      </c>
      <c r="Z32" s="215"/>
      <c r="AA32" s="215"/>
      <c r="AB32" s="202"/>
      <c r="AC32" s="202"/>
      <c r="AD32" s="52"/>
      <c r="AE32" s="67"/>
      <c r="AF32" s="67"/>
      <c r="AG32" s="67"/>
      <c r="AH32" s="67"/>
      <c r="AI32" s="53"/>
      <c r="AJ32" s="53"/>
      <c r="AK32" s="53"/>
      <c r="AL32" s="53"/>
      <c r="AM32" s="53"/>
      <c r="AN32" s="219"/>
      <c r="AO32" s="53"/>
      <c r="AP32" s="16"/>
    </row>
    <row r="33" spans="2:42" s="196" customFormat="1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0"/>
      <c r="I33" s="210"/>
      <c r="J33" s="210"/>
      <c r="K33" s="210"/>
      <c r="L33" s="210"/>
      <c r="M33" s="210"/>
      <c r="N33" s="210"/>
      <c r="O33" s="211"/>
      <c r="P33" s="212"/>
      <c r="Q33" s="176">
        <f t="shared" si="1"/>
        <v>0</v>
      </c>
      <c r="R33" s="250">
        <v>15</v>
      </c>
      <c r="S33" s="251">
        <f>80+50+75+35+50</f>
        <v>290</v>
      </c>
      <c r="T33" s="252"/>
      <c r="U33" s="256">
        <f t="shared" si="2"/>
        <v>305</v>
      </c>
      <c r="V33" s="213"/>
      <c r="W33" s="214"/>
      <c r="X33" s="347">
        <f t="shared" si="3"/>
        <v>305</v>
      </c>
      <c r="Y33" s="183">
        <f t="shared" si="4"/>
        <v>305</v>
      </c>
      <c r="Z33" s="215"/>
      <c r="AA33" s="215"/>
      <c r="AB33" s="202"/>
      <c r="AC33" s="202"/>
      <c r="AD33" s="52"/>
      <c r="AE33" s="67"/>
      <c r="AF33" s="67"/>
      <c r="AG33" s="67"/>
      <c r="AH33" s="67"/>
      <c r="AI33" s="53"/>
      <c r="AJ33" s="53"/>
      <c r="AK33" s="53"/>
      <c r="AL33" s="53"/>
      <c r="AM33" s="53"/>
      <c r="AN33" s="219"/>
      <c r="AO33" s="220"/>
      <c r="AP33" s="16"/>
    </row>
    <row r="34" spans="2:42" s="196" customFormat="1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>
        <v>78</v>
      </c>
      <c r="H34" s="210"/>
      <c r="I34" s="210"/>
      <c r="J34" s="210"/>
      <c r="K34" s="210"/>
      <c r="L34" s="210"/>
      <c r="M34" s="210"/>
      <c r="N34" s="210"/>
      <c r="O34" s="211"/>
      <c r="P34" s="212"/>
      <c r="Q34" s="176">
        <f t="shared" si="1"/>
        <v>78</v>
      </c>
      <c r="R34" s="250">
        <v>125</v>
      </c>
      <c r="S34" s="251">
        <f>50+30+100+65+325+195+46</f>
        <v>811</v>
      </c>
      <c r="T34" s="252"/>
      <c r="U34" s="256">
        <f t="shared" si="2"/>
        <v>936</v>
      </c>
      <c r="V34" s="213"/>
      <c r="W34" s="214"/>
      <c r="X34" s="347">
        <f t="shared" si="3"/>
        <v>936</v>
      </c>
      <c r="Y34" s="183">
        <f t="shared" si="4"/>
        <v>1014</v>
      </c>
      <c r="Z34" s="215"/>
      <c r="AA34" s="215"/>
      <c r="AB34" s="202"/>
      <c r="AC34" s="202"/>
      <c r="AD34" s="52"/>
      <c r="AE34" s="67"/>
      <c r="AF34" s="67"/>
      <c r="AG34" s="67"/>
      <c r="AH34" s="67"/>
      <c r="AI34" s="53"/>
      <c r="AJ34" s="53"/>
      <c r="AK34" s="53"/>
      <c r="AL34" s="53"/>
      <c r="AM34" s="53"/>
      <c r="AN34" s="219"/>
      <c r="AO34" s="67"/>
      <c r="AP34" s="16"/>
    </row>
    <row r="35" spans="2:42" s="196" customFormat="1" ht="15" customHeight="1" thickBot="1" x14ac:dyDescent="0.35">
      <c r="B35" s="28" t="s">
        <v>235</v>
      </c>
      <c r="C35" s="221"/>
      <c r="D35" s="217"/>
      <c r="E35" s="218"/>
      <c r="F35" s="177">
        <f t="shared" si="0"/>
        <v>0</v>
      </c>
      <c r="G35" s="210">
        <v>78</v>
      </c>
      <c r="H35" s="210"/>
      <c r="I35" s="210"/>
      <c r="J35" s="210">
        <v>120</v>
      </c>
      <c r="K35" s="210">
        <v>107</v>
      </c>
      <c r="L35" s="210">
        <v>108</v>
      </c>
      <c r="M35" s="210">
        <v>35</v>
      </c>
      <c r="N35" s="210"/>
      <c r="O35" s="211">
        <v>14</v>
      </c>
      <c r="P35" s="212">
        <v>300</v>
      </c>
      <c r="Q35" s="176">
        <f t="shared" si="1"/>
        <v>762</v>
      </c>
      <c r="R35" s="250">
        <v>125</v>
      </c>
      <c r="S35" s="251">
        <f>200+21+50+40+90+70+10+100+15+100+130+100+50+60+250+50+650+195+260+260+260</f>
        <v>2961</v>
      </c>
      <c r="T35" s="252"/>
      <c r="U35" s="256">
        <f t="shared" si="2"/>
        <v>3086</v>
      </c>
      <c r="V35" s="213"/>
      <c r="W35" s="214"/>
      <c r="X35" s="347">
        <f t="shared" si="3"/>
        <v>3086</v>
      </c>
      <c r="Y35" s="183">
        <f t="shared" si="4"/>
        <v>3848</v>
      </c>
      <c r="Z35" s="215"/>
      <c r="AA35" s="215"/>
      <c r="AB35" s="202"/>
      <c r="AC35" s="202"/>
      <c r="AD35" s="52"/>
      <c r="AE35" s="67"/>
      <c r="AF35" s="67"/>
      <c r="AG35" s="67"/>
      <c r="AH35" s="67"/>
      <c r="AI35" s="53"/>
      <c r="AJ35" s="53"/>
      <c r="AK35" s="53"/>
      <c r="AL35" s="53"/>
      <c r="AM35" s="53"/>
      <c r="AN35" s="219"/>
      <c r="AO35" s="67"/>
      <c r="AP35" s="16"/>
    </row>
    <row r="36" spans="2:42" s="196" customFormat="1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>
        <v>78</v>
      </c>
      <c r="H36" s="210"/>
      <c r="I36" s="210"/>
      <c r="J36" s="210">
        <v>120</v>
      </c>
      <c r="K36" s="210">
        <v>107</v>
      </c>
      <c r="L36" s="210">
        <v>108</v>
      </c>
      <c r="M36" s="210">
        <v>35</v>
      </c>
      <c r="N36" s="210"/>
      <c r="O36" s="211">
        <v>15</v>
      </c>
      <c r="P36" s="212">
        <v>250</v>
      </c>
      <c r="Q36" s="176">
        <f t="shared" si="1"/>
        <v>713</v>
      </c>
      <c r="R36" s="250">
        <v>125</v>
      </c>
      <c r="S36" s="251">
        <f>200+130+100+100+90+70+50+40+21+15+10+50+10+250+250+390+65+260+260</f>
        <v>2361</v>
      </c>
      <c r="T36" s="252"/>
      <c r="U36" s="256">
        <f t="shared" si="2"/>
        <v>2486</v>
      </c>
      <c r="V36" s="213"/>
      <c r="W36" s="214"/>
      <c r="X36" s="347">
        <f t="shared" si="3"/>
        <v>2486</v>
      </c>
      <c r="Y36" s="183">
        <f t="shared" si="4"/>
        <v>3199</v>
      </c>
      <c r="Z36" s="215"/>
      <c r="AA36" s="215"/>
      <c r="AB36" s="22"/>
      <c r="AC36" s="202"/>
      <c r="AD36" s="52"/>
      <c r="AE36" s="53"/>
      <c r="AF36" s="53"/>
      <c r="AG36" s="53"/>
      <c r="AH36" s="53"/>
      <c r="AI36" s="53"/>
      <c r="AJ36" s="53"/>
      <c r="AK36" s="53"/>
      <c r="AL36" s="53"/>
      <c r="AM36" s="53"/>
      <c r="AN36" s="219"/>
      <c r="AO36" s="53"/>
      <c r="AP36" s="16"/>
    </row>
    <row r="37" spans="2:42" s="196" customFormat="1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>
        <v>78</v>
      </c>
      <c r="H37" s="210"/>
      <c r="I37" s="210"/>
      <c r="J37" s="210"/>
      <c r="K37" s="210">
        <v>107</v>
      </c>
      <c r="L37" s="210">
        <v>108</v>
      </c>
      <c r="M37" s="210"/>
      <c r="N37" s="210"/>
      <c r="O37" s="211">
        <v>16</v>
      </c>
      <c r="P37" s="212">
        <v>300</v>
      </c>
      <c r="Q37" s="176">
        <f t="shared" si="1"/>
        <v>609</v>
      </c>
      <c r="R37" s="250">
        <v>125</v>
      </c>
      <c r="S37" s="251">
        <f>100+100+200+200+250+50+10+10+21+40+60+50+70+90+100+100+130+100+260+65</f>
        <v>2006</v>
      </c>
      <c r="T37" s="252"/>
      <c r="U37" s="256">
        <f t="shared" si="2"/>
        <v>2131</v>
      </c>
      <c r="V37" s="213"/>
      <c r="W37" s="214"/>
      <c r="X37" s="347">
        <f t="shared" si="3"/>
        <v>2131</v>
      </c>
      <c r="Y37" s="183">
        <f t="shared" si="4"/>
        <v>2740</v>
      </c>
      <c r="Z37" s="215"/>
      <c r="AA37" s="215"/>
      <c r="AB37" s="22"/>
      <c r="AC37" s="202"/>
      <c r="AD37" s="52"/>
      <c r="AE37" s="53"/>
      <c r="AF37" s="53"/>
      <c r="AG37" s="53"/>
      <c r="AH37" s="53"/>
      <c r="AI37" s="53"/>
      <c r="AJ37" s="53"/>
      <c r="AK37" s="53"/>
      <c r="AL37" s="53"/>
      <c r="AM37" s="53"/>
      <c r="AN37" s="219"/>
      <c r="AO37" s="53"/>
      <c r="AP37" s="16"/>
    </row>
    <row r="38" spans="2:42" s="196" customFormat="1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>
        <v>78</v>
      </c>
      <c r="H38" s="210" t="s">
        <v>250</v>
      </c>
      <c r="I38" s="210"/>
      <c r="J38" s="210">
        <v>120</v>
      </c>
      <c r="K38" s="210">
        <v>107</v>
      </c>
      <c r="L38" s="210">
        <v>75</v>
      </c>
      <c r="M38" s="210"/>
      <c r="N38" s="210"/>
      <c r="O38" s="211">
        <v>16</v>
      </c>
      <c r="P38" s="212">
        <v>250</v>
      </c>
      <c r="Q38" s="176">
        <f t="shared" si="1"/>
        <v>646</v>
      </c>
      <c r="R38" s="250">
        <v>125</v>
      </c>
      <c r="S38" s="251">
        <f>200+125+250+130+125+100+100+90+100+60+50+40+21+15+10+10+50+80+65</f>
        <v>1621</v>
      </c>
      <c r="T38" s="252"/>
      <c r="U38" s="256">
        <f t="shared" si="2"/>
        <v>1746</v>
      </c>
      <c r="V38" s="213"/>
      <c r="W38" s="214"/>
      <c r="X38" s="347">
        <f t="shared" si="3"/>
        <v>1746</v>
      </c>
      <c r="Y38" s="183">
        <f t="shared" si="4"/>
        <v>2392</v>
      </c>
      <c r="Z38" s="215"/>
      <c r="AA38" s="215"/>
      <c r="AB38" s="202"/>
      <c r="AC38" s="202"/>
      <c r="AD38" s="68"/>
      <c r="AE38" s="220"/>
      <c r="AF38" s="220"/>
      <c r="AG38" s="220"/>
      <c r="AH38" s="220"/>
      <c r="AI38" s="220"/>
      <c r="AJ38" s="220"/>
      <c r="AK38" s="220"/>
      <c r="AL38" s="220"/>
      <c r="AM38" s="53"/>
      <c r="AN38" s="219"/>
      <c r="AO38" s="53"/>
      <c r="AP38" s="16"/>
    </row>
    <row r="39" spans="2:42" s="196" customFormat="1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0"/>
      <c r="I39" s="210"/>
      <c r="J39" s="210"/>
      <c r="K39" s="210"/>
      <c r="L39" s="210"/>
      <c r="M39" s="210"/>
      <c r="N39" s="210"/>
      <c r="O39" s="211"/>
      <c r="P39" s="212"/>
      <c r="Q39" s="176">
        <f t="shared" si="1"/>
        <v>0</v>
      </c>
      <c r="R39" s="250"/>
      <c r="S39" s="251"/>
      <c r="T39" s="252"/>
      <c r="U39" s="256">
        <f t="shared" si="2"/>
        <v>0</v>
      </c>
      <c r="V39" s="213"/>
      <c r="W39" s="214"/>
      <c r="X39" s="347">
        <f t="shared" si="3"/>
        <v>0</v>
      </c>
      <c r="Y39" s="183">
        <f t="shared" si="4"/>
        <v>0</v>
      </c>
      <c r="Z39" s="215"/>
      <c r="AA39" s="215"/>
      <c r="AB39" s="22"/>
      <c r="AC39" s="202"/>
      <c r="AD39" s="52"/>
      <c r="AE39" s="53"/>
      <c r="AF39" s="53"/>
      <c r="AG39" s="53"/>
      <c r="AH39" s="53"/>
      <c r="AI39" s="53"/>
      <c r="AJ39" s="53"/>
      <c r="AK39" s="53"/>
      <c r="AL39" s="53"/>
      <c r="AM39" s="53"/>
      <c r="AN39" s="219"/>
      <c r="AO39" s="53"/>
      <c r="AP39" s="16"/>
    </row>
    <row r="40" spans="2:42" s="196" customFormat="1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0"/>
      <c r="I40" s="210"/>
      <c r="J40" s="210"/>
      <c r="K40" s="210"/>
      <c r="L40" s="210"/>
      <c r="M40" s="210"/>
      <c r="N40" s="210"/>
      <c r="O40" s="211"/>
      <c r="P40" s="212"/>
      <c r="Q40" s="176">
        <f t="shared" si="1"/>
        <v>0</v>
      </c>
      <c r="R40" s="250"/>
      <c r="S40" s="251"/>
      <c r="T40" s="252"/>
      <c r="U40" s="256">
        <f t="shared" si="2"/>
        <v>0</v>
      </c>
      <c r="V40" s="213"/>
      <c r="W40" s="214"/>
      <c r="X40" s="347">
        <f t="shared" si="3"/>
        <v>0</v>
      </c>
      <c r="Y40" s="183">
        <f t="shared" si="4"/>
        <v>0</v>
      </c>
      <c r="Z40" s="215"/>
      <c r="AA40" s="215"/>
      <c r="AB40" s="202"/>
      <c r="AC40" s="202"/>
      <c r="AD40" s="52"/>
      <c r="AE40" s="53"/>
      <c r="AF40" s="53"/>
      <c r="AG40" s="53"/>
      <c r="AH40" s="53"/>
      <c r="AI40" s="53"/>
      <c r="AJ40" s="53"/>
      <c r="AK40" s="53"/>
      <c r="AL40" s="53"/>
      <c r="AM40" s="53"/>
      <c r="AN40" s="219"/>
      <c r="AO40" s="53"/>
      <c r="AP40" s="16"/>
    </row>
    <row r="41" spans="2:42" s="196" customFormat="1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>
        <v>78</v>
      </c>
      <c r="H41" s="210"/>
      <c r="I41" s="210"/>
      <c r="J41" s="210">
        <v>120</v>
      </c>
      <c r="K41" s="210">
        <v>107</v>
      </c>
      <c r="L41" s="210">
        <v>108</v>
      </c>
      <c r="M41" s="210"/>
      <c r="N41" s="210"/>
      <c r="O41" s="211">
        <v>15</v>
      </c>
      <c r="P41" s="212">
        <v>300</v>
      </c>
      <c r="Q41" s="176">
        <f t="shared" si="1"/>
        <v>728</v>
      </c>
      <c r="R41" s="250">
        <v>125</v>
      </c>
      <c r="S41" s="251">
        <f>250+200+130+125+100+100+90+100+70+60+50+40+21+10+10+50+200</f>
        <v>1606</v>
      </c>
      <c r="T41" s="252"/>
      <c r="U41" s="256">
        <f t="shared" si="2"/>
        <v>1731</v>
      </c>
      <c r="V41" s="213"/>
      <c r="W41" s="214"/>
      <c r="X41" s="347">
        <f t="shared" si="3"/>
        <v>1731</v>
      </c>
      <c r="Y41" s="183">
        <f t="shared" si="4"/>
        <v>2459</v>
      </c>
      <c r="Z41" s="215"/>
      <c r="AA41" s="215"/>
      <c r="AB41" s="22"/>
      <c r="AC41" s="202"/>
      <c r="AD41" s="52"/>
      <c r="AE41" s="53"/>
      <c r="AF41" s="53"/>
      <c r="AG41" s="53"/>
      <c r="AH41" s="53"/>
      <c r="AI41" s="53"/>
      <c r="AJ41" s="53"/>
      <c r="AK41" s="53"/>
      <c r="AL41" s="53"/>
      <c r="AM41" s="53"/>
      <c r="AN41" s="219"/>
      <c r="AO41" s="53"/>
      <c r="AP41" s="16"/>
    </row>
    <row r="42" spans="2:42" s="196" customFormat="1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>
        <v>78</v>
      </c>
      <c r="H42" s="210"/>
      <c r="I42" s="210"/>
      <c r="J42" s="210">
        <v>120</v>
      </c>
      <c r="K42" s="210">
        <v>107</v>
      </c>
      <c r="L42" s="210">
        <v>108</v>
      </c>
      <c r="M42" s="210"/>
      <c r="N42" s="210"/>
      <c r="O42" s="211">
        <v>14</v>
      </c>
      <c r="P42" s="212">
        <v>300</v>
      </c>
      <c r="Q42" s="176">
        <f t="shared" si="1"/>
        <v>727</v>
      </c>
      <c r="R42" s="250">
        <v>125</v>
      </c>
      <c r="S42" s="251">
        <f>200+130+125+100+100+90+100+70+60+50+40+21+10+50+60+250+10</f>
        <v>1466</v>
      </c>
      <c r="T42" s="252"/>
      <c r="U42" s="256">
        <f t="shared" si="2"/>
        <v>1591</v>
      </c>
      <c r="V42" s="213"/>
      <c r="W42" s="214"/>
      <c r="X42" s="347">
        <f t="shared" si="3"/>
        <v>1591</v>
      </c>
      <c r="Y42" s="183">
        <f t="shared" si="4"/>
        <v>2318</v>
      </c>
      <c r="Z42" s="215"/>
      <c r="AA42" s="215"/>
      <c r="AB42" s="22"/>
      <c r="AC42" s="202"/>
      <c r="AD42" s="52"/>
      <c r="AE42" s="53"/>
      <c r="AF42" s="53"/>
      <c r="AG42" s="53"/>
      <c r="AH42" s="53"/>
      <c r="AI42" s="53"/>
      <c r="AJ42" s="53"/>
      <c r="AK42" s="53"/>
      <c r="AL42" s="53"/>
      <c r="AM42" s="53"/>
      <c r="AN42" s="219"/>
      <c r="AO42" s="53"/>
      <c r="AP42" s="16"/>
    </row>
    <row r="43" spans="2:42" s="196" customFormat="1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>
        <v>78</v>
      </c>
      <c r="H43" s="210"/>
      <c r="I43" s="210"/>
      <c r="J43" s="210">
        <v>120</v>
      </c>
      <c r="K43" s="210">
        <v>107</v>
      </c>
      <c r="L43" s="210">
        <v>108</v>
      </c>
      <c r="M43" s="210"/>
      <c r="N43" s="210"/>
      <c r="O43" s="211">
        <v>16</v>
      </c>
      <c r="P43" s="212">
        <v>300</v>
      </c>
      <c r="Q43" s="176">
        <f t="shared" si="1"/>
        <v>729</v>
      </c>
      <c r="R43" s="250">
        <v>125</v>
      </c>
      <c r="S43" s="251">
        <f>250+200+130+125+100+100+90+70+60+50+40+21+10+10+50+120+25+300+250</f>
        <v>2001</v>
      </c>
      <c r="T43" s="252"/>
      <c r="U43" s="256">
        <f t="shared" si="2"/>
        <v>2126</v>
      </c>
      <c r="V43" s="213"/>
      <c r="W43" s="214"/>
      <c r="X43" s="347">
        <f t="shared" si="3"/>
        <v>2126</v>
      </c>
      <c r="Y43" s="183">
        <f t="shared" si="4"/>
        <v>2855</v>
      </c>
      <c r="Z43" s="215"/>
      <c r="AA43" s="215"/>
      <c r="AB43" s="22"/>
      <c r="AC43" s="202"/>
      <c r="AD43" s="52"/>
      <c r="AE43" s="53"/>
      <c r="AF43" s="53"/>
      <c r="AG43" s="53"/>
      <c r="AH43" s="53"/>
      <c r="AI43" s="53"/>
      <c r="AJ43" s="53"/>
      <c r="AK43" s="53"/>
      <c r="AL43" s="53"/>
      <c r="AM43" s="53"/>
      <c r="AN43" s="16"/>
      <c r="AO43" s="53"/>
      <c r="AP43" s="16"/>
    </row>
    <row r="44" spans="2:42" s="196" customFormat="1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>
        <v>78</v>
      </c>
      <c r="H44" s="210"/>
      <c r="I44" s="210"/>
      <c r="J44" s="210">
        <v>120</v>
      </c>
      <c r="K44" s="210">
        <v>107</v>
      </c>
      <c r="L44" s="210">
        <v>108</v>
      </c>
      <c r="M44" s="210"/>
      <c r="N44" s="210"/>
      <c r="O44" s="211">
        <v>16</v>
      </c>
      <c r="P44" s="212">
        <v>300</v>
      </c>
      <c r="Q44" s="176">
        <f t="shared" si="1"/>
        <v>729</v>
      </c>
      <c r="R44" s="250">
        <v>125</v>
      </c>
      <c r="S44" s="251">
        <f>250+200+130+125+100+100+100+90+70+60+50+50+40+21+10+150+50+100+150</f>
        <v>1846</v>
      </c>
      <c r="T44" s="252"/>
      <c r="U44" s="256">
        <f t="shared" si="2"/>
        <v>1971</v>
      </c>
      <c r="V44" s="213"/>
      <c r="W44" s="214"/>
      <c r="X44" s="347">
        <f t="shared" si="3"/>
        <v>1971</v>
      </c>
      <c r="Y44" s="183">
        <f t="shared" si="4"/>
        <v>2700</v>
      </c>
      <c r="Z44" s="215"/>
      <c r="AA44" s="215"/>
      <c r="AB44" s="22"/>
      <c r="AC44" s="202"/>
      <c r="AD44" s="52"/>
      <c r="AE44" s="53"/>
      <c r="AF44" s="53"/>
      <c r="AG44" s="53"/>
      <c r="AH44" s="53"/>
      <c r="AI44" s="53"/>
      <c r="AJ44" s="53"/>
      <c r="AK44" s="53"/>
      <c r="AL44" s="53"/>
      <c r="AM44" s="53"/>
      <c r="AN44" s="16"/>
      <c r="AO44" s="53"/>
      <c r="AP44" s="16"/>
    </row>
    <row r="45" spans="2:42" s="196" customFormat="1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>
        <v>78</v>
      </c>
      <c r="H45" s="210"/>
      <c r="I45" s="210"/>
      <c r="J45" s="210">
        <v>120</v>
      </c>
      <c r="K45" s="210"/>
      <c r="L45" s="210">
        <v>108</v>
      </c>
      <c r="M45" s="210"/>
      <c r="N45" s="210"/>
      <c r="O45" s="211">
        <v>15</v>
      </c>
      <c r="P45" s="212">
        <v>300</v>
      </c>
      <c r="Q45" s="176">
        <f t="shared" si="1"/>
        <v>621</v>
      </c>
      <c r="R45" s="250">
        <v>125</v>
      </c>
      <c r="S45" s="251">
        <f>50+250+200+130+125+100+100+70+60+50+50+40+21+100+60+125+10+150+200</f>
        <v>1891</v>
      </c>
      <c r="T45" s="252"/>
      <c r="U45" s="256">
        <f t="shared" si="2"/>
        <v>2016</v>
      </c>
      <c r="V45" s="213"/>
      <c r="W45" s="214"/>
      <c r="X45" s="347">
        <f t="shared" si="3"/>
        <v>2016</v>
      </c>
      <c r="Y45" s="183">
        <f t="shared" si="4"/>
        <v>2637</v>
      </c>
      <c r="Z45" s="215"/>
      <c r="AA45" s="215"/>
      <c r="AB45" s="22"/>
      <c r="AC45" s="202"/>
      <c r="AD45" s="52"/>
      <c r="AE45" s="53"/>
      <c r="AF45" s="53"/>
      <c r="AG45" s="53"/>
      <c r="AH45" s="53"/>
      <c r="AI45" s="53"/>
      <c r="AJ45" s="53"/>
      <c r="AK45" s="53"/>
      <c r="AL45" s="53"/>
      <c r="AM45" s="53"/>
      <c r="AN45" s="16"/>
      <c r="AO45" s="53"/>
      <c r="AP45" s="16"/>
    </row>
    <row r="46" spans="2:42" s="196" customFormat="1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0"/>
      <c r="I46" s="210"/>
      <c r="J46" s="210"/>
      <c r="K46" s="210"/>
      <c r="L46" s="210"/>
      <c r="M46" s="210"/>
      <c r="N46" s="210"/>
      <c r="O46" s="211"/>
      <c r="P46" s="212"/>
      <c r="Q46" s="176">
        <f t="shared" si="1"/>
        <v>0</v>
      </c>
      <c r="R46" s="250"/>
      <c r="S46" s="251"/>
      <c r="T46" s="252"/>
      <c r="U46" s="256">
        <f t="shared" si="2"/>
        <v>0</v>
      </c>
      <c r="V46" s="213"/>
      <c r="W46" s="214"/>
      <c r="X46" s="347">
        <f t="shared" si="3"/>
        <v>0</v>
      </c>
      <c r="Y46" s="183">
        <f t="shared" si="4"/>
        <v>0</v>
      </c>
      <c r="Z46" s="215"/>
      <c r="AA46" s="215"/>
      <c r="AB46" s="22"/>
      <c r="AC46" s="202"/>
      <c r="AD46" s="52"/>
      <c r="AE46" s="53"/>
      <c r="AF46" s="53"/>
      <c r="AG46" s="53"/>
      <c r="AH46" s="53"/>
      <c r="AI46" s="53"/>
      <c r="AJ46" s="53"/>
      <c r="AK46" s="53"/>
      <c r="AL46" s="53"/>
      <c r="AM46" s="53"/>
      <c r="AN46" s="16"/>
      <c r="AO46" s="53"/>
      <c r="AP46" s="16"/>
    </row>
    <row r="47" spans="2:42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"/>
      <c r="AA47" s="202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</row>
    <row r="48" spans="2:42" s="196" customFormat="1" ht="15" customHeight="1" thickBot="1" x14ac:dyDescent="0.35">
      <c r="B48" s="42" t="s">
        <v>1</v>
      </c>
      <c r="C48" s="41"/>
      <c r="D48" s="178">
        <f>SUM(D16:D46)</f>
        <v>0</v>
      </c>
      <c r="E48" s="179">
        <f>SUM(E16:E46)</f>
        <v>0</v>
      </c>
      <c r="F48" s="171">
        <f>SUM(F16:F46)</f>
        <v>0</v>
      </c>
      <c r="G48" s="180">
        <f t="shared" ref="G48:X48" si="5">SUM(G16:G46)</f>
        <v>1716</v>
      </c>
      <c r="H48" s="180">
        <f t="shared" si="5"/>
        <v>0</v>
      </c>
      <c r="I48" s="180">
        <f t="shared" si="5"/>
        <v>0</v>
      </c>
      <c r="J48" s="180">
        <f t="shared" si="5"/>
        <v>2400</v>
      </c>
      <c r="K48" s="180">
        <f t="shared" si="5"/>
        <v>2033</v>
      </c>
      <c r="L48" s="180">
        <f t="shared" si="5"/>
        <v>2235</v>
      </c>
      <c r="M48" s="180">
        <f t="shared" si="5"/>
        <v>515</v>
      </c>
      <c r="N48" s="180">
        <f t="shared" si="5"/>
        <v>0</v>
      </c>
      <c r="O48" s="181">
        <f t="shared" si="5"/>
        <v>334</v>
      </c>
      <c r="P48" s="182">
        <f t="shared" si="5"/>
        <v>5925</v>
      </c>
      <c r="Q48" s="174">
        <f>SUM(Q16:Q46)</f>
        <v>15158</v>
      </c>
      <c r="R48" s="259">
        <f t="shared" si="5"/>
        <v>2780</v>
      </c>
      <c r="S48" s="259">
        <f t="shared" si="5"/>
        <v>38714</v>
      </c>
      <c r="T48" s="260">
        <f t="shared" si="5"/>
        <v>0</v>
      </c>
      <c r="U48" s="257">
        <f>SUM(U16:U46)</f>
        <v>41494</v>
      </c>
      <c r="V48" s="195">
        <f t="shared" si="5"/>
        <v>0</v>
      </c>
      <c r="W48" s="195">
        <f t="shared" si="5"/>
        <v>0</v>
      </c>
      <c r="X48" s="193">
        <f t="shared" si="5"/>
        <v>41494</v>
      </c>
      <c r="Y48" s="184">
        <f>SUM(Y16:Y46)</f>
        <v>56652</v>
      </c>
      <c r="Z48" s="22"/>
      <c r="AA48" s="202"/>
      <c r="AB48" s="29"/>
      <c r="AC48" s="202"/>
      <c r="AD48" s="52"/>
      <c r="AE48" s="53"/>
      <c r="AF48" s="53"/>
      <c r="AG48" s="53"/>
      <c r="AH48" s="53"/>
      <c r="AI48" s="53"/>
      <c r="AJ48" s="53"/>
      <c r="AK48" s="53"/>
      <c r="AL48" s="53"/>
      <c r="AM48" s="53"/>
      <c r="AN48" s="16"/>
      <c r="AO48" s="53"/>
      <c r="AP48" s="16"/>
    </row>
    <row r="49" spans="1:42" s="196" customFormat="1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5"/>
      <c r="T49" s="14"/>
      <c r="U49" s="14"/>
      <c r="V49" s="14"/>
      <c r="W49" s="14"/>
      <c r="X49" s="14"/>
      <c r="Y49" s="16"/>
      <c r="Z49" s="16"/>
      <c r="AA49" s="16"/>
      <c r="AB49" s="16"/>
      <c r="AC49" s="202"/>
      <c r="AD49" s="52"/>
      <c r="AE49" s="53"/>
      <c r="AF49" s="53"/>
      <c r="AG49" s="53"/>
      <c r="AH49" s="53"/>
      <c r="AI49" s="53"/>
      <c r="AJ49" s="53"/>
      <c r="AK49" s="53"/>
      <c r="AL49" s="53"/>
      <c r="AM49" s="53"/>
      <c r="AN49" s="16"/>
      <c r="AO49" s="53"/>
      <c r="AP49" s="16"/>
    </row>
    <row r="50" spans="1:42" s="226" customFormat="1" ht="15" customHeight="1" x14ac:dyDescent="0.3">
      <c r="B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30"/>
      <c r="AA50" s="230"/>
      <c r="AB50" s="230"/>
      <c r="AC50" s="230"/>
      <c r="AD50" s="52"/>
      <c r="AE50" s="53"/>
      <c r="AF50" s="53"/>
      <c r="AG50" s="53"/>
      <c r="AH50" s="53"/>
      <c r="AI50" s="53"/>
      <c r="AJ50" s="53"/>
      <c r="AK50" s="53"/>
      <c r="AL50" s="53"/>
      <c r="AM50" s="53"/>
      <c r="AN50" s="16"/>
      <c r="AO50" s="53"/>
      <c r="AP50" s="16"/>
    </row>
    <row r="51" spans="1:42" s="226" customFormat="1" ht="15" customHeight="1" x14ac:dyDescent="0.3">
      <c r="B51" s="227"/>
      <c r="D51" s="231"/>
      <c r="L51" s="477"/>
      <c r="R51" s="231"/>
      <c r="S51" s="229"/>
      <c r="Y51" s="228"/>
      <c r="Z51" s="230"/>
      <c r="AA51" s="230"/>
      <c r="AB51" s="230"/>
      <c r="AC51" s="230"/>
      <c r="AD51" s="57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</row>
    <row r="52" spans="1:42" s="226" customFormat="1" ht="15" customHeight="1" x14ac:dyDescent="0.3">
      <c r="B52" s="227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0"/>
      <c r="AA52" s="230"/>
      <c r="AB52" s="230"/>
      <c r="AC52" s="230"/>
      <c r="AD52" s="57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</row>
    <row r="53" spans="1:42" s="226" customFormat="1" ht="15" customHeight="1" x14ac:dyDescent="0.3">
      <c r="B53" s="227"/>
      <c r="D53" s="231"/>
      <c r="R53" s="231"/>
      <c r="S53" s="229"/>
      <c r="Y53" s="228"/>
      <c r="Z53" s="230"/>
      <c r="AA53" s="230"/>
      <c r="AB53" s="230"/>
      <c r="AC53" s="230"/>
      <c r="AD53" s="57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</row>
    <row r="54" spans="1:42" s="226" customFormat="1" ht="15" customHeight="1" x14ac:dyDescent="0.3">
      <c r="B54" s="227"/>
      <c r="D54" s="231"/>
      <c r="R54" s="231"/>
      <c r="S54" s="229"/>
      <c r="Y54" s="228"/>
      <c r="Z54" s="230"/>
      <c r="AA54" s="230"/>
      <c r="AB54" s="230"/>
      <c r="AC54" s="230"/>
      <c r="AD54" s="57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</row>
    <row r="55" spans="1:42" s="226" customFormat="1" ht="15" customHeight="1" x14ac:dyDescent="0.3">
      <c r="B55" s="227"/>
      <c r="D55" s="231"/>
      <c r="S55" s="229"/>
      <c r="Y55" s="228"/>
      <c r="Z55" s="230"/>
      <c r="AA55" s="230"/>
      <c r="AB55" s="230"/>
      <c r="AC55" s="230"/>
      <c r="AD55" s="57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</row>
    <row r="56" spans="1:42" s="226" customFormat="1" ht="15" customHeight="1" x14ac:dyDescent="0.3">
      <c r="B56" s="227"/>
      <c r="D56" s="231"/>
      <c r="R56" s="232"/>
      <c r="S56" s="229"/>
      <c r="Y56" s="228"/>
      <c r="Z56" s="230"/>
      <c r="AA56" s="230"/>
      <c r="AB56" s="230"/>
      <c r="AC56" s="230"/>
      <c r="AD56" s="57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</row>
    <row r="57" spans="1:42" s="226" customFormat="1" ht="15" customHeight="1" x14ac:dyDescent="0.3">
      <c r="B57" s="227"/>
      <c r="D57" s="231"/>
      <c r="S57" s="229"/>
      <c r="Y57" s="228"/>
      <c r="Z57" s="230"/>
      <c r="AA57" s="230"/>
      <c r="AB57" s="230"/>
      <c r="AC57" s="230"/>
      <c r="AD57" s="57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</row>
    <row r="58" spans="1:42" s="196" customFormat="1" ht="15" customHeight="1" x14ac:dyDescent="0.3">
      <c r="A58" s="226"/>
      <c r="B58" s="227"/>
      <c r="C58" s="226"/>
      <c r="D58" s="231"/>
      <c r="S58" s="198"/>
      <c r="Y58" s="199"/>
      <c r="Z58" s="230"/>
      <c r="AA58" s="230"/>
      <c r="AB58" s="230"/>
      <c r="AC58" s="230"/>
      <c r="AD58" s="30"/>
      <c r="AE58" s="31"/>
      <c r="AF58" s="31"/>
      <c r="AG58" s="31"/>
      <c r="AH58" s="31"/>
      <c r="AI58" s="31"/>
      <c r="AJ58" s="31"/>
      <c r="AK58" s="31"/>
      <c r="AL58" s="31"/>
      <c r="AM58" s="31"/>
      <c r="AN58" s="32"/>
      <c r="AO58" s="31"/>
      <c r="AP58" s="33"/>
    </row>
    <row r="59" spans="1:42" s="196" customFormat="1" ht="15" customHeight="1" x14ac:dyDescent="0.3">
      <c r="A59" s="226"/>
      <c r="B59" s="227"/>
      <c r="C59" s="226"/>
      <c r="D59" s="231"/>
      <c r="S59" s="198"/>
      <c r="Y59" s="199"/>
      <c r="Z59" s="230"/>
      <c r="AA59" s="230"/>
      <c r="AB59" s="230"/>
      <c r="AC59" s="230"/>
      <c r="AD59" s="30"/>
      <c r="AE59" s="31"/>
      <c r="AF59" s="31"/>
      <c r="AG59" s="31"/>
      <c r="AH59" s="31"/>
      <c r="AI59" s="31"/>
      <c r="AJ59" s="31"/>
      <c r="AK59" s="31"/>
      <c r="AL59" s="31"/>
      <c r="AM59" s="31"/>
      <c r="AN59" s="32"/>
      <c r="AO59" s="31"/>
      <c r="AP59" s="33"/>
    </row>
    <row r="60" spans="1:42" s="196" customFormat="1" ht="15" customHeight="1" x14ac:dyDescent="0.3">
      <c r="A60" s="226"/>
      <c r="B60" s="227"/>
      <c r="C60" s="37"/>
      <c r="D60" s="231"/>
      <c r="S60" s="198"/>
      <c r="Y60" s="199"/>
      <c r="Z60" s="230"/>
      <c r="AA60" s="230"/>
      <c r="AB60" s="230"/>
      <c r="AC60" s="230"/>
      <c r="AD60" s="30"/>
      <c r="AE60" s="31"/>
      <c r="AF60" s="31"/>
      <c r="AG60" s="31"/>
      <c r="AH60" s="31"/>
      <c r="AI60" s="31"/>
      <c r="AJ60" s="31"/>
      <c r="AK60" s="31"/>
      <c r="AL60" s="31"/>
      <c r="AM60" s="31"/>
      <c r="AN60" s="32"/>
      <c r="AO60" s="31"/>
      <c r="AP60" s="33"/>
    </row>
    <row r="61" spans="1:42" s="196" customFormat="1" ht="15" customHeight="1" x14ac:dyDescent="0.3">
      <c r="A61" s="226"/>
      <c r="B61" s="227"/>
      <c r="C61" s="37"/>
      <c r="D61" s="226"/>
      <c r="S61" s="198"/>
      <c r="Y61" s="199"/>
      <c r="Z61" s="230"/>
      <c r="AA61" s="230"/>
      <c r="AB61" s="230"/>
      <c r="AC61" s="230"/>
      <c r="AD61" s="30"/>
      <c r="AE61" s="31"/>
      <c r="AF61" s="31"/>
      <c r="AG61" s="31"/>
      <c r="AH61" s="31"/>
      <c r="AI61" s="31"/>
      <c r="AJ61" s="31"/>
      <c r="AK61" s="31"/>
      <c r="AL61" s="31"/>
      <c r="AM61" s="31"/>
      <c r="AN61" s="32"/>
      <c r="AO61" s="31"/>
      <c r="AP61" s="33"/>
    </row>
    <row r="62" spans="1:42" ht="15" customHeight="1" x14ac:dyDescent="0.3">
      <c r="C62" s="38"/>
    </row>
    <row r="63" spans="1:42" ht="15" customHeight="1" x14ac:dyDescent="0.3"/>
    <row r="64" spans="1:42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B8:Y8"/>
    <mergeCell ref="B7:Y7"/>
    <mergeCell ref="R14:X14"/>
    <mergeCell ref="D12:R12"/>
    <mergeCell ref="B9:Y9"/>
    <mergeCell ref="D14:F14"/>
  </mergeCells>
  <dataValidations disablePrompts="1" count="1">
    <dataValidation type="list" allowBlank="1" showInputMessage="1" showErrorMessage="1" sqref="AI15:AN15">
      <formula1>$C$11:$C$61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5" zoomScale="70" zoomScaleNormal="70" workbookViewId="0">
      <pane xSplit="1" topLeftCell="B1" activePane="topRight" state="frozen"/>
      <selection activeCell="R13" sqref="R13"/>
      <selection pane="topRight"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43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18</v>
      </c>
      <c r="L16" s="251">
        <f>200+50+50+25+680</f>
        <v>1005</v>
      </c>
      <c r="M16" s="252"/>
      <c r="N16" s="256">
        <f>+K16+L16+M16</f>
        <v>1023</v>
      </c>
      <c r="O16" s="235"/>
      <c r="P16" s="234"/>
      <c r="Q16" s="187">
        <f>+P16+O16+N16</f>
        <v>1023</v>
      </c>
      <c r="R16" s="183">
        <f>+Q16+J16+F16</f>
        <v>1023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18</v>
      </c>
      <c r="L17" s="251">
        <f>200+50+50+25+675</f>
        <v>1000</v>
      </c>
      <c r="M17" s="252"/>
      <c r="N17" s="256">
        <f t="shared" ref="N17:N46" si="2">+K17+L17+M17</f>
        <v>1018</v>
      </c>
      <c r="O17" s="213"/>
      <c r="P17" s="214"/>
      <c r="Q17" s="187">
        <f t="shared" ref="Q17:Q46" si="3">+P17+O17+N17</f>
        <v>1018</v>
      </c>
      <c r="R17" s="183">
        <f t="shared" ref="R17:R46" si="4">+Q17+J17+F17</f>
        <v>1018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18</v>
      </c>
      <c r="L20" s="251">
        <f>200+50+50+25+685</f>
        <v>1010</v>
      </c>
      <c r="M20" s="252"/>
      <c r="N20" s="256">
        <f t="shared" si="2"/>
        <v>1028</v>
      </c>
      <c r="O20" s="213"/>
      <c r="P20" s="214"/>
      <c r="Q20" s="187">
        <f t="shared" si="3"/>
        <v>1028</v>
      </c>
      <c r="R20" s="183">
        <f t="shared" si="4"/>
        <v>1028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18</v>
      </c>
      <c r="L21" s="251">
        <f>200+50+50+25+680</f>
        <v>1005</v>
      </c>
      <c r="M21" s="252"/>
      <c r="N21" s="256">
        <f t="shared" si="2"/>
        <v>1023</v>
      </c>
      <c r="O21" s="213"/>
      <c r="P21" s="214"/>
      <c r="Q21" s="187">
        <f t="shared" si="3"/>
        <v>1023</v>
      </c>
      <c r="R21" s="183">
        <f t="shared" si="4"/>
        <v>1023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18</v>
      </c>
      <c r="L22" s="251">
        <f>200+50+50+25+670</f>
        <v>995</v>
      </c>
      <c r="M22" s="252"/>
      <c r="N22" s="256">
        <f t="shared" si="2"/>
        <v>1013</v>
      </c>
      <c r="O22" s="213"/>
      <c r="P22" s="214"/>
      <c r="Q22" s="187">
        <f t="shared" si="3"/>
        <v>1013</v>
      </c>
      <c r="R22" s="183">
        <f t="shared" si="4"/>
        <v>1013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18</v>
      </c>
      <c r="L23" s="251">
        <f>200+50+50+25+690</f>
        <v>1015</v>
      </c>
      <c r="M23" s="252"/>
      <c r="N23" s="256">
        <f t="shared" si="2"/>
        <v>1033</v>
      </c>
      <c r="O23" s="213"/>
      <c r="P23" s="214"/>
      <c r="Q23" s="187">
        <f t="shared" si="3"/>
        <v>1033</v>
      </c>
      <c r="R23" s="183">
        <f t="shared" si="4"/>
        <v>1033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18</v>
      </c>
      <c r="L24" s="251">
        <f>200+50+50+25+695</f>
        <v>1020</v>
      </c>
      <c r="M24" s="252"/>
      <c r="N24" s="256">
        <f t="shared" si="2"/>
        <v>1038</v>
      </c>
      <c r="O24" s="213"/>
      <c r="P24" s="214"/>
      <c r="Q24" s="187">
        <f t="shared" si="3"/>
        <v>1038</v>
      </c>
      <c r="R24" s="183">
        <f t="shared" si="4"/>
        <v>1038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18</v>
      </c>
      <c r="L27" s="251">
        <f>300+200+50+50+25+690</f>
        <v>1315</v>
      </c>
      <c r="M27" s="252"/>
      <c r="N27" s="256">
        <f t="shared" si="2"/>
        <v>1333</v>
      </c>
      <c r="O27" s="213"/>
      <c r="P27" s="214"/>
      <c r="Q27" s="187">
        <f t="shared" si="3"/>
        <v>1333</v>
      </c>
      <c r="R27" s="183">
        <f t="shared" si="4"/>
        <v>1333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18</v>
      </c>
      <c r="L28" s="251">
        <f>300+200+50+50+685</f>
        <v>1285</v>
      </c>
      <c r="M28" s="252"/>
      <c r="N28" s="256">
        <f t="shared" si="2"/>
        <v>1303</v>
      </c>
      <c r="O28" s="213"/>
      <c r="P28" s="214"/>
      <c r="Q28" s="187">
        <f t="shared" si="3"/>
        <v>1303</v>
      </c>
      <c r="R28" s="183">
        <f t="shared" si="4"/>
        <v>1303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18</v>
      </c>
      <c r="L29" s="251">
        <f>200+300+50+50+25+695</f>
        <v>1320</v>
      </c>
      <c r="M29" s="252"/>
      <c r="N29" s="256">
        <f t="shared" si="2"/>
        <v>1338</v>
      </c>
      <c r="O29" s="213"/>
      <c r="P29" s="214"/>
      <c r="Q29" s="187">
        <f t="shared" si="3"/>
        <v>1338</v>
      </c>
      <c r="R29" s="183">
        <f t="shared" si="4"/>
        <v>1338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18</v>
      </c>
      <c r="L30" s="251">
        <f>200+300+50+50+25+685</f>
        <v>1310</v>
      </c>
      <c r="M30" s="252"/>
      <c r="N30" s="256">
        <f t="shared" si="2"/>
        <v>1328</v>
      </c>
      <c r="O30" s="213"/>
      <c r="P30" s="214"/>
      <c r="Q30" s="187">
        <f t="shared" si="3"/>
        <v>1328</v>
      </c>
      <c r="R30" s="183">
        <f t="shared" si="4"/>
        <v>1328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18</v>
      </c>
      <c r="L31" s="251">
        <f>300+200+50+50+25+680</f>
        <v>1305</v>
      </c>
      <c r="M31" s="252"/>
      <c r="N31" s="256">
        <f t="shared" si="2"/>
        <v>1323</v>
      </c>
      <c r="O31" s="213"/>
      <c r="P31" s="214"/>
      <c r="Q31" s="187">
        <f t="shared" si="3"/>
        <v>1323</v>
      </c>
      <c r="R31" s="183">
        <f t="shared" si="4"/>
        <v>1323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>
        <v>325</v>
      </c>
      <c r="M34" s="252"/>
      <c r="N34" s="256">
        <f t="shared" si="2"/>
        <v>325</v>
      </c>
      <c r="O34" s="213"/>
      <c r="P34" s="214"/>
      <c r="Q34" s="187">
        <f t="shared" si="3"/>
        <v>325</v>
      </c>
      <c r="R34" s="183">
        <f t="shared" si="4"/>
        <v>325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18</v>
      </c>
      <c r="L35" s="251">
        <f>200+100+25+50+675</f>
        <v>1050</v>
      </c>
      <c r="M35" s="252"/>
      <c r="N35" s="256">
        <f t="shared" si="2"/>
        <v>1068</v>
      </c>
      <c r="O35" s="213"/>
      <c r="P35" s="214"/>
      <c r="Q35" s="187">
        <f t="shared" si="3"/>
        <v>1068</v>
      </c>
      <c r="R35" s="183">
        <f t="shared" si="4"/>
        <v>1068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18</v>
      </c>
      <c r="L36" s="251">
        <f>200+100+50+25+685</f>
        <v>1060</v>
      </c>
      <c r="M36" s="252"/>
      <c r="N36" s="256">
        <f t="shared" si="2"/>
        <v>1078</v>
      </c>
      <c r="O36" s="213"/>
      <c r="P36" s="214"/>
      <c r="Q36" s="187">
        <f t="shared" si="3"/>
        <v>1078</v>
      </c>
      <c r="R36" s="183">
        <f t="shared" si="4"/>
        <v>1078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18</v>
      </c>
      <c r="L37" s="251">
        <f>200+50+25+690+100</f>
        <v>1065</v>
      </c>
      <c r="M37" s="252"/>
      <c r="N37" s="256">
        <f t="shared" si="2"/>
        <v>1083</v>
      </c>
      <c r="O37" s="213"/>
      <c r="P37" s="214"/>
      <c r="Q37" s="187">
        <f t="shared" si="3"/>
        <v>1083</v>
      </c>
      <c r="R37" s="183">
        <f t="shared" si="4"/>
        <v>1083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18</v>
      </c>
      <c r="L38" s="251">
        <f>200+50+50+25+680</f>
        <v>1005</v>
      </c>
      <c r="M38" s="252"/>
      <c r="N38" s="256">
        <f t="shared" si="2"/>
        <v>1023</v>
      </c>
      <c r="O38" s="213"/>
      <c r="P38" s="214"/>
      <c r="Q38" s="187">
        <f t="shared" si="3"/>
        <v>1023</v>
      </c>
      <c r="R38" s="183">
        <f t="shared" si="4"/>
        <v>1023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18</v>
      </c>
      <c r="L41" s="251">
        <f>200+50+25+725</f>
        <v>1000</v>
      </c>
      <c r="M41" s="252"/>
      <c r="N41" s="256">
        <f t="shared" si="2"/>
        <v>1018</v>
      </c>
      <c r="O41" s="213"/>
      <c r="P41" s="214"/>
      <c r="Q41" s="187">
        <f t="shared" si="3"/>
        <v>1018</v>
      </c>
      <c r="R41" s="183">
        <f t="shared" si="4"/>
        <v>1018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18</v>
      </c>
      <c r="L42" s="251">
        <f>200+50+25+715</f>
        <v>990</v>
      </c>
      <c r="M42" s="252"/>
      <c r="N42" s="256">
        <f t="shared" si="2"/>
        <v>1008</v>
      </c>
      <c r="O42" s="213"/>
      <c r="P42" s="214"/>
      <c r="Q42" s="187">
        <f t="shared" si="3"/>
        <v>1008</v>
      </c>
      <c r="R42" s="183">
        <f t="shared" si="4"/>
        <v>1008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18</v>
      </c>
      <c r="L43" s="251">
        <f>300+200+50+25+725</f>
        <v>1300</v>
      </c>
      <c r="M43" s="252"/>
      <c r="N43" s="256">
        <f t="shared" si="2"/>
        <v>1318</v>
      </c>
      <c r="O43" s="213"/>
      <c r="P43" s="214"/>
      <c r="Q43" s="187">
        <f t="shared" si="3"/>
        <v>1318</v>
      </c>
      <c r="R43" s="183">
        <f t="shared" si="4"/>
        <v>1318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18</v>
      </c>
      <c r="L44" s="251">
        <f>200+50+25+750+300</f>
        <v>1325</v>
      </c>
      <c r="M44" s="252"/>
      <c r="N44" s="256">
        <f t="shared" si="2"/>
        <v>1343</v>
      </c>
      <c r="O44" s="213"/>
      <c r="P44" s="214"/>
      <c r="Q44" s="187">
        <f t="shared" si="3"/>
        <v>1343</v>
      </c>
      <c r="R44" s="183">
        <f t="shared" si="4"/>
        <v>1343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18</v>
      </c>
      <c r="L45" s="251">
        <f>300+200+50+25+745</f>
        <v>1320</v>
      </c>
      <c r="M45" s="252"/>
      <c r="N45" s="256">
        <f t="shared" si="2"/>
        <v>1338</v>
      </c>
      <c r="O45" s="213"/>
      <c r="P45" s="214"/>
      <c r="Q45" s="187">
        <f t="shared" si="3"/>
        <v>1338</v>
      </c>
      <c r="R45" s="183">
        <f t="shared" si="4"/>
        <v>1338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378</v>
      </c>
      <c r="L48" s="259">
        <f t="shared" si="5"/>
        <v>24025</v>
      </c>
      <c r="M48" s="260">
        <f t="shared" si="5"/>
        <v>0</v>
      </c>
      <c r="N48" s="258">
        <f>SUM(N16:N46)</f>
        <v>24403</v>
      </c>
      <c r="O48" s="195">
        <f t="shared" si="5"/>
        <v>0</v>
      </c>
      <c r="P48" s="195">
        <f t="shared" si="5"/>
        <v>0</v>
      </c>
      <c r="Q48" s="194">
        <f>SUM(Q16:Q46)</f>
        <v>24403</v>
      </c>
      <c r="R48" s="185">
        <f>SUM(R16:R46)</f>
        <v>24403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24403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A9:Q9"/>
    <mergeCell ref="D12:K12"/>
    <mergeCell ref="K14:Q14"/>
    <mergeCell ref="A7:Q7"/>
    <mergeCell ref="A8:Q8"/>
    <mergeCell ref="D14:F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8"/>
  <sheetViews>
    <sheetView showGridLines="0" topLeftCell="A33" zoomScale="70" zoomScaleNormal="70" zoomScaleSheetLayoutView="65" workbookViewId="0">
      <pane xSplit="1" topLeftCell="B1" activePane="topRight" state="frozen"/>
      <selection activeCell="R13" sqref="R13"/>
      <selection pane="topRight" activeCell="L45" sqref="L45"/>
    </sheetView>
  </sheetViews>
  <sheetFormatPr baseColWidth="10" defaultColWidth="11.44140625" defaultRowHeight="14.4" x14ac:dyDescent="0.3"/>
  <cols>
    <col min="1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A12"/>
      <c r="B12" s="39" t="s">
        <v>48</v>
      </c>
      <c r="C12" s="40"/>
      <c r="D12" s="524" t="s">
        <v>23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>
        <v>2022</v>
      </c>
      <c r="R12" s="51">
        <f>+'ADM 1'!Y12</f>
        <v>2022</v>
      </c>
    </row>
    <row r="13" spans="1:20" ht="15" customHeight="1" thickBot="1" x14ac:dyDescent="0.35">
      <c r="A1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A14"/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A15"/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A16"/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17</v>
      </c>
      <c r="L16" s="251">
        <v>933</v>
      </c>
      <c r="M16" s="252"/>
      <c r="N16" s="256">
        <f>+K16+L16+M16</f>
        <v>950</v>
      </c>
      <c r="O16" s="235"/>
      <c r="P16" s="234"/>
      <c r="Q16" s="187">
        <f>+P16+O16+N16</f>
        <v>950</v>
      </c>
      <c r="R16" s="183">
        <f>+Q16+J16+F16</f>
        <v>950</v>
      </c>
      <c r="S16" s="215"/>
      <c r="T16" s="215"/>
    </row>
    <row r="17" spans="1:20" ht="15" customHeight="1" thickBot="1" x14ac:dyDescent="0.35">
      <c r="A17"/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18</v>
      </c>
      <c r="L17" s="251">
        <v>889</v>
      </c>
      <c r="M17" s="252"/>
      <c r="N17" s="256">
        <f t="shared" ref="N17:N46" si="2">+K17+L17+M17</f>
        <v>907</v>
      </c>
      <c r="O17" s="213"/>
      <c r="P17" s="214"/>
      <c r="Q17" s="187">
        <f t="shared" ref="Q17:Q46" si="3">+P17+O17+N17</f>
        <v>907</v>
      </c>
      <c r="R17" s="183">
        <f t="shared" ref="R17:R46" si="4">+Q17+J17+F17</f>
        <v>907</v>
      </c>
      <c r="S17" s="215"/>
      <c r="T17" s="215"/>
    </row>
    <row r="18" spans="1:20" ht="15" customHeight="1" thickBot="1" x14ac:dyDescent="0.35">
      <c r="A18"/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1:20" ht="15" customHeight="1" thickBot="1" x14ac:dyDescent="0.35">
      <c r="A19"/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1:20" ht="15" customHeight="1" thickBot="1" x14ac:dyDescent="0.35">
      <c r="A20"/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18</v>
      </c>
      <c r="L20" s="251">
        <v>914</v>
      </c>
      <c r="M20" s="252"/>
      <c r="N20" s="256">
        <f t="shared" si="2"/>
        <v>932</v>
      </c>
      <c r="O20" s="213"/>
      <c r="P20" s="214"/>
      <c r="Q20" s="187">
        <f t="shared" si="3"/>
        <v>932</v>
      </c>
      <c r="R20" s="183">
        <f t="shared" si="4"/>
        <v>932</v>
      </c>
      <c r="S20" s="215"/>
      <c r="T20" s="215"/>
    </row>
    <row r="21" spans="1:20" ht="15" customHeight="1" thickBot="1" x14ac:dyDescent="0.35">
      <c r="A21"/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17</v>
      </c>
      <c r="L21" s="251">
        <v>943</v>
      </c>
      <c r="M21" s="252"/>
      <c r="N21" s="256">
        <f t="shared" si="2"/>
        <v>960</v>
      </c>
      <c r="O21" s="213"/>
      <c r="P21" s="214"/>
      <c r="Q21" s="187">
        <f t="shared" si="3"/>
        <v>960</v>
      </c>
      <c r="R21" s="183">
        <f t="shared" si="4"/>
        <v>960</v>
      </c>
      <c r="S21" s="215"/>
      <c r="T21" s="215"/>
    </row>
    <row r="22" spans="1:20" ht="15" customHeight="1" thickBot="1" x14ac:dyDescent="0.35">
      <c r="A22"/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17</v>
      </c>
      <c r="L22" s="251">
        <v>900</v>
      </c>
      <c r="M22" s="252"/>
      <c r="N22" s="256">
        <f t="shared" si="2"/>
        <v>917</v>
      </c>
      <c r="O22" s="213"/>
      <c r="P22" s="214"/>
      <c r="Q22" s="187">
        <f t="shared" si="3"/>
        <v>917</v>
      </c>
      <c r="R22" s="183">
        <f t="shared" si="4"/>
        <v>917</v>
      </c>
      <c r="S22" s="215"/>
      <c r="T22" s="215"/>
    </row>
    <row r="23" spans="1:20" ht="15" customHeight="1" thickBot="1" x14ac:dyDescent="0.35">
      <c r="A23"/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17</v>
      </c>
      <c r="L23" s="251">
        <v>913</v>
      </c>
      <c r="M23" s="252"/>
      <c r="N23" s="256">
        <f t="shared" si="2"/>
        <v>930</v>
      </c>
      <c r="O23" s="213"/>
      <c r="P23" s="214"/>
      <c r="Q23" s="187">
        <f t="shared" si="3"/>
        <v>930</v>
      </c>
      <c r="R23" s="183">
        <f t="shared" si="4"/>
        <v>930</v>
      </c>
      <c r="S23" s="215"/>
      <c r="T23" s="215"/>
    </row>
    <row r="24" spans="1:20" ht="15" customHeight="1" thickBot="1" x14ac:dyDescent="0.35">
      <c r="A24"/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16</v>
      </c>
      <c r="L24" s="251">
        <v>929</v>
      </c>
      <c r="M24" s="252"/>
      <c r="N24" s="256">
        <f t="shared" si="2"/>
        <v>945</v>
      </c>
      <c r="O24" s="213"/>
      <c r="P24" s="214"/>
      <c r="Q24" s="187">
        <f t="shared" si="3"/>
        <v>945</v>
      </c>
      <c r="R24" s="183">
        <f t="shared" si="4"/>
        <v>945</v>
      </c>
      <c r="S24" s="215"/>
      <c r="T24" s="215"/>
    </row>
    <row r="25" spans="1:20" ht="15" customHeight="1" thickBot="1" x14ac:dyDescent="0.35">
      <c r="A25"/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1:20" ht="15" customHeight="1" thickBot="1" x14ac:dyDescent="0.35">
      <c r="A26"/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1:20" ht="15" customHeight="1" thickBot="1" x14ac:dyDescent="0.35">
      <c r="A27"/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17</v>
      </c>
      <c r="L27" s="251">
        <v>913</v>
      </c>
      <c r="M27" s="252"/>
      <c r="N27" s="256">
        <f t="shared" si="2"/>
        <v>930</v>
      </c>
      <c r="O27" s="213"/>
      <c r="P27" s="214"/>
      <c r="Q27" s="187">
        <f t="shared" si="3"/>
        <v>930</v>
      </c>
      <c r="R27" s="183">
        <f t="shared" si="4"/>
        <v>930</v>
      </c>
      <c r="S27" s="215"/>
      <c r="T27" s="215"/>
    </row>
    <row r="28" spans="1:20" ht="15" customHeight="1" thickBot="1" x14ac:dyDescent="0.35">
      <c r="A28"/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16</v>
      </c>
      <c r="L28" s="251">
        <v>964</v>
      </c>
      <c r="M28" s="252"/>
      <c r="N28" s="256">
        <f t="shared" si="2"/>
        <v>980</v>
      </c>
      <c r="O28" s="213"/>
      <c r="P28" s="214"/>
      <c r="Q28" s="187">
        <f t="shared" si="3"/>
        <v>980</v>
      </c>
      <c r="R28" s="183">
        <f t="shared" si="4"/>
        <v>980</v>
      </c>
      <c r="S28" s="215"/>
      <c r="T28" s="215"/>
    </row>
    <row r="29" spans="1:20" ht="15" customHeight="1" thickBot="1" x14ac:dyDescent="0.35">
      <c r="A29"/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16</v>
      </c>
      <c r="L29" s="251">
        <v>922</v>
      </c>
      <c r="M29" s="252"/>
      <c r="N29" s="256">
        <f t="shared" si="2"/>
        <v>938</v>
      </c>
      <c r="O29" s="213"/>
      <c r="P29" s="214"/>
      <c r="Q29" s="187">
        <f t="shared" si="3"/>
        <v>938</v>
      </c>
      <c r="R29" s="183">
        <f t="shared" si="4"/>
        <v>938</v>
      </c>
      <c r="S29" s="215"/>
      <c r="T29" s="215"/>
    </row>
    <row r="30" spans="1:20" ht="15" customHeight="1" thickBot="1" x14ac:dyDescent="0.35">
      <c r="A30"/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16</v>
      </c>
      <c r="L30" s="251">
        <v>904</v>
      </c>
      <c r="M30" s="252"/>
      <c r="N30" s="256">
        <f t="shared" si="2"/>
        <v>920</v>
      </c>
      <c r="O30" s="213"/>
      <c r="P30" s="214"/>
      <c r="Q30" s="187">
        <f t="shared" si="3"/>
        <v>920</v>
      </c>
      <c r="R30" s="183">
        <f t="shared" si="4"/>
        <v>920</v>
      </c>
      <c r="S30" s="215"/>
      <c r="T30" s="215"/>
    </row>
    <row r="31" spans="1:20" ht="15" customHeight="1" thickBot="1" x14ac:dyDescent="0.35">
      <c r="A31"/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16</v>
      </c>
      <c r="L31" s="251">
        <v>909</v>
      </c>
      <c r="M31" s="252"/>
      <c r="N31" s="256">
        <f t="shared" si="2"/>
        <v>925</v>
      </c>
      <c r="O31" s="213"/>
      <c r="P31" s="214"/>
      <c r="Q31" s="187">
        <f t="shared" si="3"/>
        <v>925</v>
      </c>
      <c r="R31" s="183">
        <f t="shared" si="4"/>
        <v>925</v>
      </c>
      <c r="S31" s="215"/>
      <c r="T31" s="215"/>
    </row>
    <row r="32" spans="1:20" ht="15" customHeight="1" thickBot="1" x14ac:dyDescent="0.35">
      <c r="A32"/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1:20" ht="15" customHeight="1" thickBot="1" x14ac:dyDescent="0.35">
      <c r="A33"/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1:20" ht="15" customHeight="1" thickBot="1" x14ac:dyDescent="0.35">
      <c r="A34"/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/>
      <c r="M34" s="252"/>
      <c r="N34" s="256">
        <f t="shared" si="2"/>
        <v>0</v>
      </c>
      <c r="O34" s="213"/>
      <c r="P34" s="214"/>
      <c r="Q34" s="187">
        <f t="shared" si="3"/>
        <v>0</v>
      </c>
      <c r="R34" s="183">
        <f t="shared" si="4"/>
        <v>0</v>
      </c>
      <c r="S34" s="215"/>
      <c r="T34" s="215"/>
    </row>
    <row r="35" spans="1:20" ht="15" customHeight="1" thickBot="1" x14ac:dyDescent="0.35">
      <c r="A35"/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17</v>
      </c>
      <c r="L35" s="251">
        <v>1534</v>
      </c>
      <c r="M35" s="252"/>
      <c r="N35" s="256">
        <f t="shared" si="2"/>
        <v>1551</v>
      </c>
      <c r="O35" s="213"/>
      <c r="P35" s="214"/>
      <c r="Q35" s="187">
        <f t="shared" si="3"/>
        <v>1551</v>
      </c>
      <c r="R35" s="183">
        <f t="shared" si="4"/>
        <v>1551</v>
      </c>
      <c r="S35" s="215"/>
      <c r="T35" s="215"/>
    </row>
    <row r="36" spans="1:20" ht="15" customHeight="1" thickBot="1" x14ac:dyDescent="0.35">
      <c r="A36"/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17</v>
      </c>
      <c r="L36" s="251">
        <v>921</v>
      </c>
      <c r="M36" s="252"/>
      <c r="N36" s="256">
        <f t="shared" si="2"/>
        <v>938</v>
      </c>
      <c r="O36" s="213"/>
      <c r="P36" s="214"/>
      <c r="Q36" s="187">
        <f t="shared" si="3"/>
        <v>938</v>
      </c>
      <c r="R36" s="183">
        <f t="shared" si="4"/>
        <v>938</v>
      </c>
      <c r="S36" s="215"/>
      <c r="T36" s="215"/>
    </row>
    <row r="37" spans="1:20" ht="15" customHeight="1" thickBot="1" x14ac:dyDescent="0.35">
      <c r="A37"/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19</v>
      </c>
      <c r="L37" s="251">
        <v>941</v>
      </c>
      <c r="M37" s="252"/>
      <c r="N37" s="256">
        <f t="shared" si="2"/>
        <v>960</v>
      </c>
      <c r="O37" s="213"/>
      <c r="P37" s="214"/>
      <c r="Q37" s="187">
        <f t="shared" si="3"/>
        <v>960</v>
      </c>
      <c r="R37" s="183">
        <f t="shared" si="4"/>
        <v>960</v>
      </c>
      <c r="S37" s="215"/>
      <c r="T37" s="215"/>
    </row>
    <row r="38" spans="1:20" ht="15" customHeight="1" thickBot="1" x14ac:dyDescent="0.35">
      <c r="A38"/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19</v>
      </c>
      <c r="L38" s="251">
        <v>911</v>
      </c>
      <c r="M38" s="252"/>
      <c r="N38" s="256">
        <f t="shared" si="2"/>
        <v>930</v>
      </c>
      <c r="O38" s="213"/>
      <c r="P38" s="214"/>
      <c r="Q38" s="187">
        <f t="shared" si="3"/>
        <v>930</v>
      </c>
      <c r="R38" s="183">
        <f t="shared" si="4"/>
        <v>930</v>
      </c>
      <c r="S38" s="215"/>
      <c r="T38" s="215"/>
    </row>
    <row r="39" spans="1:20" ht="15" customHeight="1" thickBot="1" x14ac:dyDescent="0.35">
      <c r="A39"/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1:20" ht="15" customHeight="1" thickBot="1" x14ac:dyDescent="0.35">
      <c r="A40"/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1:20" ht="15" customHeight="1" thickBot="1" x14ac:dyDescent="0.35">
      <c r="A41"/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19</v>
      </c>
      <c r="L41" s="251">
        <v>931</v>
      </c>
      <c r="M41" s="252"/>
      <c r="N41" s="256">
        <f t="shared" si="2"/>
        <v>950</v>
      </c>
      <c r="O41" s="213"/>
      <c r="P41" s="214"/>
      <c r="Q41" s="187">
        <f t="shared" si="3"/>
        <v>950</v>
      </c>
      <c r="R41" s="183">
        <f t="shared" si="4"/>
        <v>950</v>
      </c>
      <c r="S41" s="215"/>
      <c r="T41" s="215"/>
    </row>
    <row r="42" spans="1:20" ht="15" customHeight="1" thickBot="1" x14ac:dyDescent="0.35">
      <c r="A42"/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17</v>
      </c>
      <c r="L42" s="251">
        <v>963</v>
      </c>
      <c r="M42" s="252"/>
      <c r="N42" s="256">
        <f t="shared" si="2"/>
        <v>980</v>
      </c>
      <c r="O42" s="213"/>
      <c r="P42" s="214"/>
      <c r="Q42" s="187">
        <f t="shared" si="3"/>
        <v>980</v>
      </c>
      <c r="R42" s="183">
        <f t="shared" si="4"/>
        <v>980</v>
      </c>
      <c r="S42" s="215"/>
      <c r="T42" s="215"/>
    </row>
    <row r="43" spans="1:20" ht="15" customHeight="1" thickBot="1" x14ac:dyDescent="0.35">
      <c r="A43"/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18</v>
      </c>
      <c r="L43" s="251">
        <v>899</v>
      </c>
      <c r="M43" s="252"/>
      <c r="N43" s="256">
        <f t="shared" si="2"/>
        <v>917</v>
      </c>
      <c r="O43" s="213"/>
      <c r="P43" s="214"/>
      <c r="Q43" s="187">
        <f t="shared" si="3"/>
        <v>917</v>
      </c>
      <c r="R43" s="183">
        <f t="shared" si="4"/>
        <v>917</v>
      </c>
      <c r="S43" s="215"/>
      <c r="T43" s="215"/>
    </row>
    <row r="44" spans="1:20" ht="15" customHeight="1" thickBot="1" x14ac:dyDescent="0.35">
      <c r="A44"/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17</v>
      </c>
      <c r="L44" s="251">
        <v>923</v>
      </c>
      <c r="M44" s="252"/>
      <c r="N44" s="256">
        <f t="shared" si="2"/>
        <v>940</v>
      </c>
      <c r="O44" s="213"/>
      <c r="P44" s="214"/>
      <c r="Q44" s="187">
        <f t="shared" si="3"/>
        <v>940</v>
      </c>
      <c r="R44" s="183">
        <f t="shared" si="4"/>
        <v>940</v>
      </c>
      <c r="S44" s="215"/>
      <c r="T44" s="215"/>
    </row>
    <row r="45" spans="1:20" ht="15" customHeight="1" thickBot="1" x14ac:dyDescent="0.35">
      <c r="A45"/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18</v>
      </c>
      <c r="L45" s="251">
        <v>912</v>
      </c>
      <c r="M45" s="252"/>
      <c r="N45" s="256">
        <f t="shared" si="2"/>
        <v>930</v>
      </c>
      <c r="O45" s="213"/>
      <c r="P45" s="214"/>
      <c r="Q45" s="187">
        <f t="shared" si="3"/>
        <v>930</v>
      </c>
      <c r="R45" s="183">
        <f t="shared" si="4"/>
        <v>930</v>
      </c>
      <c r="S45" s="215"/>
      <c r="T45" s="215"/>
    </row>
    <row r="46" spans="1:20" ht="15" customHeight="1" x14ac:dyDescent="0.3">
      <c r="A46"/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1:20" ht="15" customHeight="1" thickBot="1" x14ac:dyDescent="0.35">
      <c r="A47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1:20" ht="15" customHeight="1" thickBot="1" x14ac:dyDescent="0.35">
      <c r="A48"/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362</v>
      </c>
      <c r="L48" s="259">
        <f t="shared" si="5"/>
        <v>19968</v>
      </c>
      <c r="M48" s="260">
        <f t="shared" si="5"/>
        <v>0</v>
      </c>
      <c r="N48" s="258">
        <f>SUM(N16:N46)</f>
        <v>20330</v>
      </c>
      <c r="O48" s="195">
        <f t="shared" si="5"/>
        <v>0</v>
      </c>
      <c r="P48" s="195">
        <f t="shared" si="5"/>
        <v>0</v>
      </c>
      <c r="Q48" s="194">
        <f>SUM(Q16:Q46)</f>
        <v>20330</v>
      </c>
      <c r="R48" s="185">
        <f>SUM(R16:R46)</f>
        <v>20330</v>
      </c>
      <c r="S48" s="22"/>
      <c r="T48" s="202"/>
    </row>
    <row r="49" spans="1:18" ht="15" customHeight="1" x14ac:dyDescent="0.3">
      <c r="A49" s="13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1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20330</v>
      </c>
    </row>
    <row r="51" spans="1:18" ht="15" customHeight="1" x14ac:dyDescent="0.3">
      <c r="R51" s="228"/>
    </row>
    <row r="52" spans="1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1:18" ht="15" customHeight="1" x14ac:dyDescent="0.3"/>
    <row r="54" spans="1:18" ht="15" customHeight="1" x14ac:dyDescent="0.3"/>
    <row r="55" spans="1:18" ht="15" customHeight="1" x14ac:dyDescent="0.3"/>
    <row r="56" spans="1:18" ht="15" customHeight="1" x14ac:dyDescent="0.3"/>
    <row r="57" spans="1:18" ht="15" customHeight="1" x14ac:dyDescent="0.3"/>
    <row r="58" spans="1:18" ht="15" customHeight="1" x14ac:dyDescent="0.3"/>
    <row r="59" spans="1:18" ht="15" customHeight="1" x14ac:dyDescent="0.3"/>
    <row r="60" spans="1:18" ht="15" customHeight="1" x14ac:dyDescent="0.3"/>
    <row r="61" spans="1:18" ht="15" customHeight="1" x14ac:dyDescent="0.3"/>
    <row r="62" spans="1:18" ht="15" customHeight="1" x14ac:dyDescent="0.3"/>
    <row r="63" spans="1:18" ht="15" customHeight="1" x14ac:dyDescent="0.3"/>
    <row r="64" spans="1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B31" zoomScale="66" zoomScaleNormal="66" workbookViewId="0">
      <selection activeCell="M38" sqref="M38"/>
    </sheetView>
  </sheetViews>
  <sheetFormatPr baseColWidth="10" defaultColWidth="11.44140625" defaultRowHeight="14.4" x14ac:dyDescent="0.3"/>
  <cols>
    <col min="1" max="1" width="5.44140625" style="89" hidden="1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41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15</v>
      </c>
      <c r="L16" s="251">
        <f>586+200+20+250</f>
        <v>1056</v>
      </c>
      <c r="M16" s="252"/>
      <c r="N16" s="256">
        <f>+K16+L16+M16</f>
        <v>1071</v>
      </c>
      <c r="O16" s="235"/>
      <c r="P16" s="234"/>
      <c r="Q16" s="187">
        <f>+P16+O16+N16</f>
        <v>1071</v>
      </c>
      <c r="R16" s="183">
        <f>+Q16+J16+F16</f>
        <v>1071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15</v>
      </c>
      <c r="L17" s="251">
        <f>583+200+250+20</f>
        <v>1053</v>
      </c>
      <c r="M17" s="252"/>
      <c r="N17" s="256">
        <f t="shared" ref="N17:N46" si="2">+K17+L17+M17</f>
        <v>1068</v>
      </c>
      <c r="O17" s="213"/>
      <c r="P17" s="214"/>
      <c r="Q17" s="187">
        <f t="shared" ref="Q17:Q46" si="3">+P17+O17+N17</f>
        <v>1068</v>
      </c>
      <c r="R17" s="183">
        <f t="shared" ref="R17:R46" si="4">+Q17+J17+F17</f>
        <v>1068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15</v>
      </c>
      <c r="L20" s="251">
        <f>586+200+250+20</f>
        <v>1056</v>
      </c>
      <c r="M20" s="252"/>
      <c r="N20" s="256">
        <f t="shared" si="2"/>
        <v>1071</v>
      </c>
      <c r="O20" s="213"/>
      <c r="P20" s="214"/>
      <c r="Q20" s="187">
        <f t="shared" si="3"/>
        <v>1071</v>
      </c>
      <c r="R20" s="183">
        <f t="shared" si="4"/>
        <v>1071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15</v>
      </c>
      <c r="L21" s="251">
        <f>585+200+300+20</f>
        <v>1105</v>
      </c>
      <c r="M21" s="252"/>
      <c r="N21" s="256">
        <f t="shared" si="2"/>
        <v>1120</v>
      </c>
      <c r="O21" s="213"/>
      <c r="P21" s="214"/>
      <c r="Q21" s="187">
        <f t="shared" si="3"/>
        <v>1120</v>
      </c>
      <c r="R21" s="183">
        <f t="shared" si="4"/>
        <v>1120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15</v>
      </c>
      <c r="L22" s="251">
        <f>587+200+350+20</f>
        <v>1157</v>
      </c>
      <c r="M22" s="252"/>
      <c r="N22" s="256">
        <f t="shared" si="2"/>
        <v>1172</v>
      </c>
      <c r="O22" s="213"/>
      <c r="P22" s="214"/>
      <c r="Q22" s="187">
        <f t="shared" si="3"/>
        <v>1172</v>
      </c>
      <c r="R22" s="183">
        <f t="shared" si="4"/>
        <v>1172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15</v>
      </c>
      <c r="L23" s="251">
        <f>583+200+350+20</f>
        <v>1153</v>
      </c>
      <c r="M23" s="252"/>
      <c r="N23" s="256">
        <f t="shared" si="2"/>
        <v>1168</v>
      </c>
      <c r="O23" s="213"/>
      <c r="P23" s="214"/>
      <c r="Q23" s="187">
        <f t="shared" si="3"/>
        <v>1168</v>
      </c>
      <c r="R23" s="183">
        <f t="shared" si="4"/>
        <v>1168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15</v>
      </c>
      <c r="L24" s="251">
        <f>584+200+350+20</f>
        <v>1154</v>
      </c>
      <c r="M24" s="252"/>
      <c r="N24" s="256">
        <f t="shared" si="2"/>
        <v>1169</v>
      </c>
      <c r="O24" s="213"/>
      <c r="P24" s="214"/>
      <c r="Q24" s="187">
        <f t="shared" si="3"/>
        <v>1169</v>
      </c>
      <c r="R24" s="183">
        <f t="shared" si="4"/>
        <v>1169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15</v>
      </c>
      <c r="L27" s="251">
        <f>588+300+200+20</f>
        <v>1108</v>
      </c>
      <c r="M27" s="252"/>
      <c r="N27" s="256">
        <f t="shared" si="2"/>
        <v>1123</v>
      </c>
      <c r="O27" s="213"/>
      <c r="P27" s="214"/>
      <c r="Q27" s="187">
        <f t="shared" si="3"/>
        <v>1123</v>
      </c>
      <c r="R27" s="183">
        <f t="shared" si="4"/>
        <v>1123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15</v>
      </c>
      <c r="L28" s="251">
        <f>585+200+350+20</f>
        <v>1155</v>
      </c>
      <c r="M28" s="252"/>
      <c r="N28" s="256">
        <f t="shared" si="2"/>
        <v>1170</v>
      </c>
      <c r="O28" s="213"/>
      <c r="P28" s="214"/>
      <c r="Q28" s="187">
        <f t="shared" si="3"/>
        <v>1170</v>
      </c>
      <c r="R28" s="183">
        <f t="shared" si="4"/>
        <v>1170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15</v>
      </c>
      <c r="L29" s="251">
        <f>583+200+350+40</f>
        <v>1173</v>
      </c>
      <c r="M29" s="252"/>
      <c r="N29" s="256">
        <f t="shared" si="2"/>
        <v>1188</v>
      </c>
      <c r="O29" s="213"/>
      <c r="P29" s="214"/>
      <c r="Q29" s="187">
        <f t="shared" si="3"/>
        <v>1188</v>
      </c>
      <c r="R29" s="183">
        <f t="shared" si="4"/>
        <v>1188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15</v>
      </c>
      <c r="L30" s="251">
        <f>586+200+350+40</f>
        <v>1176</v>
      </c>
      <c r="M30" s="252"/>
      <c r="N30" s="256">
        <f t="shared" si="2"/>
        <v>1191</v>
      </c>
      <c r="O30" s="213"/>
      <c r="P30" s="214"/>
      <c r="Q30" s="187">
        <f t="shared" si="3"/>
        <v>1191</v>
      </c>
      <c r="R30" s="183">
        <f t="shared" si="4"/>
        <v>1191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15</v>
      </c>
      <c r="L31" s="251">
        <f>584+200+350+20</f>
        <v>1154</v>
      </c>
      <c r="M31" s="252"/>
      <c r="N31" s="256">
        <f t="shared" si="2"/>
        <v>1169</v>
      </c>
      <c r="O31" s="213"/>
      <c r="P31" s="214"/>
      <c r="Q31" s="187">
        <f t="shared" si="3"/>
        <v>1169</v>
      </c>
      <c r="R31" s="183">
        <f t="shared" si="4"/>
        <v>1169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15</v>
      </c>
      <c r="L34" s="251">
        <f>195+65+65</f>
        <v>325</v>
      </c>
      <c r="M34" s="252"/>
      <c r="N34" s="256">
        <f t="shared" si="2"/>
        <v>340</v>
      </c>
      <c r="O34" s="213"/>
      <c r="P34" s="214"/>
      <c r="Q34" s="187">
        <f t="shared" si="3"/>
        <v>340</v>
      </c>
      <c r="R34" s="183">
        <f t="shared" si="4"/>
        <v>340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15</v>
      </c>
      <c r="L35" s="251">
        <f>584+200+350+20+65</f>
        <v>1219</v>
      </c>
      <c r="M35" s="252"/>
      <c r="N35" s="256">
        <f t="shared" si="2"/>
        <v>1234</v>
      </c>
      <c r="O35" s="213"/>
      <c r="P35" s="214"/>
      <c r="Q35" s="187">
        <f t="shared" si="3"/>
        <v>1234</v>
      </c>
      <c r="R35" s="183">
        <f t="shared" si="4"/>
        <v>1234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15</v>
      </c>
      <c r="L36" s="251">
        <f>585+200+350+20+65</f>
        <v>1220</v>
      </c>
      <c r="M36" s="252"/>
      <c r="N36" s="256">
        <f t="shared" si="2"/>
        <v>1235</v>
      </c>
      <c r="O36" s="213"/>
      <c r="P36" s="214"/>
      <c r="Q36" s="187">
        <f t="shared" si="3"/>
        <v>1235</v>
      </c>
      <c r="R36" s="183">
        <f t="shared" si="4"/>
        <v>1235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15</v>
      </c>
      <c r="L37" s="251">
        <f>587+200+350+20+65</f>
        <v>1222</v>
      </c>
      <c r="M37" s="252"/>
      <c r="N37" s="256">
        <f t="shared" si="2"/>
        <v>1237</v>
      </c>
      <c r="O37" s="213"/>
      <c r="P37" s="214"/>
      <c r="Q37" s="187">
        <f t="shared" si="3"/>
        <v>1237</v>
      </c>
      <c r="R37" s="183">
        <f t="shared" si="4"/>
        <v>1237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15</v>
      </c>
      <c r="L38" s="251">
        <f>586+200+350+20+46</f>
        <v>1202</v>
      </c>
      <c r="M38" s="252"/>
      <c r="N38" s="256">
        <f t="shared" si="2"/>
        <v>1217</v>
      </c>
      <c r="O38" s="213"/>
      <c r="P38" s="214"/>
      <c r="Q38" s="187">
        <f t="shared" si="3"/>
        <v>1217</v>
      </c>
      <c r="R38" s="183">
        <f t="shared" si="4"/>
        <v>1217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15</v>
      </c>
      <c r="L41" s="251">
        <f>585+200+350+20+35</f>
        <v>1190</v>
      </c>
      <c r="M41" s="252"/>
      <c r="N41" s="256">
        <f t="shared" si="2"/>
        <v>1205</v>
      </c>
      <c r="O41" s="213"/>
      <c r="P41" s="214"/>
      <c r="Q41" s="187">
        <f t="shared" si="3"/>
        <v>1205</v>
      </c>
      <c r="R41" s="183">
        <f t="shared" si="4"/>
        <v>1205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15</v>
      </c>
      <c r="L42" s="251">
        <f>200+350+20+50+587</f>
        <v>1207</v>
      </c>
      <c r="M42" s="252"/>
      <c r="N42" s="256">
        <f t="shared" si="2"/>
        <v>1222</v>
      </c>
      <c r="O42" s="213"/>
      <c r="P42" s="214"/>
      <c r="Q42" s="187">
        <f t="shared" si="3"/>
        <v>1222</v>
      </c>
      <c r="R42" s="183">
        <f t="shared" si="4"/>
        <v>1222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15</v>
      </c>
      <c r="L43" s="251">
        <f>584+200+350+20+35</f>
        <v>1189</v>
      </c>
      <c r="M43" s="252"/>
      <c r="N43" s="256">
        <f t="shared" si="2"/>
        <v>1204</v>
      </c>
      <c r="O43" s="213"/>
      <c r="P43" s="214"/>
      <c r="Q43" s="187">
        <f t="shared" si="3"/>
        <v>1204</v>
      </c>
      <c r="R43" s="183">
        <f t="shared" si="4"/>
        <v>1204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15</v>
      </c>
      <c r="L44" s="251">
        <f>583+200+35+350</f>
        <v>1168</v>
      </c>
      <c r="M44" s="252"/>
      <c r="N44" s="256">
        <f t="shared" si="2"/>
        <v>1183</v>
      </c>
      <c r="O44" s="213"/>
      <c r="P44" s="214"/>
      <c r="Q44" s="187">
        <f t="shared" si="3"/>
        <v>1183</v>
      </c>
      <c r="R44" s="183">
        <f t="shared" si="4"/>
        <v>1183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15</v>
      </c>
      <c r="L45" s="251">
        <f>586+200+350+35</f>
        <v>1171</v>
      </c>
      <c r="M45" s="252"/>
      <c r="N45" s="256">
        <f t="shared" si="2"/>
        <v>1186</v>
      </c>
      <c r="O45" s="213"/>
      <c r="P45" s="214"/>
      <c r="Q45" s="187">
        <f t="shared" si="3"/>
        <v>1186</v>
      </c>
      <c r="R45" s="183">
        <f t="shared" si="4"/>
        <v>1186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330</v>
      </c>
      <c r="L48" s="259">
        <f t="shared" si="5"/>
        <v>24613</v>
      </c>
      <c r="M48" s="260">
        <f t="shared" si="5"/>
        <v>0</v>
      </c>
      <c r="N48" s="258">
        <f>SUM(N16:N46)</f>
        <v>24943</v>
      </c>
      <c r="O48" s="195">
        <f t="shared" si="5"/>
        <v>0</v>
      </c>
      <c r="P48" s="195">
        <f t="shared" si="5"/>
        <v>0</v>
      </c>
      <c r="Q48" s="194">
        <f>SUM(Q16:Q46)</f>
        <v>24943</v>
      </c>
      <c r="R48" s="185">
        <f>SUM(R16:R46)</f>
        <v>24943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24943</v>
      </c>
    </row>
    <row r="51" spans="2:18" ht="15" customHeight="1" x14ac:dyDescent="0.3">
      <c r="K51" s="215">
        <f>SUM(K16:K46)</f>
        <v>330</v>
      </c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A9:Q9"/>
    <mergeCell ref="D12:K12"/>
    <mergeCell ref="K14:Q14"/>
    <mergeCell ref="A7:Q7"/>
    <mergeCell ref="A8:Q8"/>
    <mergeCell ref="D14:F14"/>
  </mergeCells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8"/>
  <sheetViews>
    <sheetView showGridLines="0" topLeftCell="A29" zoomScale="60" zoomScaleNormal="60" workbookViewId="0">
      <selection activeCell="M43" sqref="M43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7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245</v>
      </c>
      <c r="H15" s="161" t="s">
        <v>76</v>
      </c>
      <c r="I15" s="162" t="s">
        <v>207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40"/>
      <c r="D16" s="208"/>
      <c r="E16" s="209"/>
      <c r="F16" s="177">
        <f>+D16+E16</f>
        <v>0</v>
      </c>
      <c r="G16" s="210"/>
      <c r="H16" s="211">
        <v>30</v>
      </c>
      <c r="I16" s="212"/>
      <c r="J16" s="176">
        <f>+G16+H16+I16</f>
        <v>30</v>
      </c>
      <c r="K16" s="251">
        <v>36</v>
      </c>
      <c r="L16" s="251">
        <f>1340+2220</f>
        <v>3560</v>
      </c>
      <c r="M16" s="252"/>
      <c r="N16" s="256">
        <f>+K16+L16+M16</f>
        <v>3596</v>
      </c>
      <c r="O16" s="235"/>
      <c r="P16" s="234"/>
      <c r="Q16" s="187">
        <f>+P16+O16+N16</f>
        <v>3596</v>
      </c>
      <c r="R16" s="183">
        <f>+Q16+J16+F16</f>
        <v>3626</v>
      </c>
      <c r="S16" s="215"/>
      <c r="T16" s="215"/>
    </row>
    <row r="17" spans="2:24" ht="15" customHeight="1" thickBot="1" x14ac:dyDescent="0.35">
      <c r="B17" s="26">
        <v>2</v>
      </c>
      <c r="C17" s="216"/>
      <c r="D17" s="241"/>
      <c r="E17" s="218"/>
      <c r="F17" s="177">
        <f t="shared" ref="F17:F46" si="0">+D17+E17</f>
        <v>0</v>
      </c>
      <c r="G17" s="210"/>
      <c r="H17" s="211">
        <v>30</v>
      </c>
      <c r="I17" s="212"/>
      <c r="J17" s="176">
        <f t="shared" ref="J17:J46" si="1">+G17+H17+I17</f>
        <v>30</v>
      </c>
      <c r="K17" s="250">
        <v>34</v>
      </c>
      <c r="L17" s="251">
        <f>1334+2970</f>
        <v>4304</v>
      </c>
      <c r="M17" s="252"/>
      <c r="N17" s="256">
        <f t="shared" ref="N17:N46" si="2">+K17+L17+M17</f>
        <v>4338</v>
      </c>
      <c r="O17" s="213"/>
      <c r="P17" s="214"/>
      <c r="Q17" s="187">
        <f t="shared" ref="Q17:Q46" si="3">+P17+O17+N17</f>
        <v>4338</v>
      </c>
      <c r="R17" s="183">
        <f t="shared" ref="R17:R46" si="4">+Q17+J17+F17</f>
        <v>4368</v>
      </c>
      <c r="S17" s="215"/>
      <c r="T17" s="215"/>
    </row>
    <row r="18" spans="2:24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15</v>
      </c>
      <c r="L18" s="251">
        <f>834+580</f>
        <v>1414</v>
      </c>
      <c r="M18" s="252"/>
      <c r="N18" s="256">
        <f t="shared" si="2"/>
        <v>1429</v>
      </c>
      <c r="O18" s="213"/>
      <c r="P18" s="214"/>
      <c r="Q18" s="187">
        <f t="shared" si="3"/>
        <v>1429</v>
      </c>
      <c r="R18" s="183">
        <f t="shared" si="4"/>
        <v>1429</v>
      </c>
      <c r="S18" s="242"/>
      <c r="T18" s="242"/>
      <c r="U18" s="243"/>
      <c r="V18" s="243"/>
      <c r="W18" s="243"/>
      <c r="X18" s="243"/>
    </row>
    <row r="19" spans="2:24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15</v>
      </c>
      <c r="L19" s="251">
        <f>856+830</f>
        <v>1686</v>
      </c>
      <c r="M19" s="305"/>
      <c r="N19" s="304">
        <f t="shared" si="2"/>
        <v>1701</v>
      </c>
      <c r="O19" s="213"/>
      <c r="P19" s="214"/>
      <c r="Q19" s="187">
        <f t="shared" si="3"/>
        <v>1701</v>
      </c>
      <c r="R19" s="183">
        <f t="shared" si="4"/>
        <v>1701</v>
      </c>
      <c r="S19" s="242"/>
      <c r="T19" s="242"/>
      <c r="U19" s="243"/>
      <c r="V19" s="243"/>
      <c r="W19" s="243"/>
      <c r="X19" s="243"/>
    </row>
    <row r="20" spans="2:24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>
        <v>30</v>
      </c>
      <c r="I20" s="212">
        <v>300</v>
      </c>
      <c r="J20" s="176">
        <f t="shared" si="1"/>
        <v>330</v>
      </c>
      <c r="K20" s="250">
        <v>34</v>
      </c>
      <c r="L20" s="253">
        <f>1336+2120</f>
        <v>3456</v>
      </c>
      <c r="M20" s="254"/>
      <c r="N20" s="256">
        <f t="shared" si="2"/>
        <v>3490</v>
      </c>
      <c r="O20" s="213"/>
      <c r="P20" s="214"/>
      <c r="Q20" s="187">
        <f t="shared" si="3"/>
        <v>3490</v>
      </c>
      <c r="R20" s="183">
        <f t="shared" si="4"/>
        <v>3820</v>
      </c>
      <c r="S20" s="15"/>
      <c r="T20" s="16"/>
      <c r="U20" s="16"/>
      <c r="V20" s="16"/>
      <c r="W20" s="145"/>
      <c r="X20" s="145"/>
    </row>
    <row r="21" spans="2:24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>
        <v>30</v>
      </c>
      <c r="I21" s="212">
        <v>300</v>
      </c>
      <c r="J21" s="176">
        <f t="shared" si="1"/>
        <v>330</v>
      </c>
      <c r="K21" s="250">
        <v>34</v>
      </c>
      <c r="L21" s="253">
        <v>3456</v>
      </c>
      <c r="M21" s="254"/>
      <c r="N21" s="256">
        <f t="shared" si="2"/>
        <v>3490</v>
      </c>
      <c r="O21" s="213"/>
      <c r="P21" s="214"/>
      <c r="Q21" s="187">
        <f t="shared" si="3"/>
        <v>3490</v>
      </c>
      <c r="R21" s="183">
        <f t="shared" si="4"/>
        <v>3820</v>
      </c>
      <c r="S21" s="15"/>
      <c r="U21" s="16"/>
      <c r="V21" s="16"/>
      <c r="W21" s="145"/>
      <c r="X21" s="145"/>
    </row>
    <row r="22" spans="2:24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>
        <v>30</v>
      </c>
      <c r="I22" s="212">
        <v>300</v>
      </c>
      <c r="J22" s="176">
        <f t="shared" si="1"/>
        <v>330</v>
      </c>
      <c r="K22" s="250">
        <v>33</v>
      </c>
      <c r="L22" s="253">
        <f>1339+1970</f>
        <v>3309</v>
      </c>
      <c r="M22" s="254"/>
      <c r="N22" s="256">
        <f t="shared" si="2"/>
        <v>3342</v>
      </c>
      <c r="O22" s="213"/>
      <c r="P22" s="214"/>
      <c r="Q22" s="187">
        <f t="shared" si="3"/>
        <v>3342</v>
      </c>
      <c r="R22" s="183">
        <f t="shared" si="4"/>
        <v>3672</v>
      </c>
      <c r="S22" s="16"/>
      <c r="T22" s="243"/>
      <c r="U22" s="16"/>
      <c r="V22" s="16"/>
      <c r="W22" s="145"/>
      <c r="X22" s="145"/>
    </row>
    <row r="23" spans="2:24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>
        <v>30</v>
      </c>
      <c r="I23" s="212"/>
      <c r="J23" s="176">
        <f t="shared" si="1"/>
        <v>30</v>
      </c>
      <c r="K23" s="250">
        <v>35</v>
      </c>
      <c r="L23" s="253">
        <f>1363+2020</f>
        <v>3383</v>
      </c>
      <c r="M23" s="254"/>
      <c r="N23" s="256">
        <f t="shared" si="2"/>
        <v>3418</v>
      </c>
      <c r="O23" s="213"/>
      <c r="P23" s="214"/>
      <c r="Q23" s="187">
        <f t="shared" si="3"/>
        <v>3418</v>
      </c>
      <c r="R23" s="183">
        <f t="shared" si="4"/>
        <v>3448</v>
      </c>
      <c r="S23" s="15"/>
      <c r="T23" s="244"/>
      <c r="U23" s="16"/>
      <c r="V23" s="16"/>
      <c r="W23" s="145"/>
      <c r="X23" s="145"/>
    </row>
    <row r="24" spans="2:24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>
        <v>30</v>
      </c>
      <c r="I24" s="212"/>
      <c r="J24" s="176">
        <f t="shared" si="1"/>
        <v>30</v>
      </c>
      <c r="K24" s="250">
        <v>34</v>
      </c>
      <c r="L24" s="253">
        <f>1350+2670</f>
        <v>4020</v>
      </c>
      <c r="M24" s="254"/>
      <c r="N24" s="256">
        <f t="shared" si="2"/>
        <v>4054</v>
      </c>
      <c r="O24" s="213"/>
      <c r="P24" s="214"/>
      <c r="Q24" s="187">
        <f t="shared" si="3"/>
        <v>4054</v>
      </c>
      <c r="R24" s="183">
        <f t="shared" si="4"/>
        <v>4084</v>
      </c>
      <c r="S24" s="15"/>
      <c r="T24" s="16"/>
      <c r="U24" s="16"/>
      <c r="V24" s="16"/>
      <c r="W24" s="145"/>
      <c r="X24" s="145"/>
    </row>
    <row r="25" spans="2:24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12</v>
      </c>
      <c r="L25" s="253">
        <f>864+560</f>
        <v>1424</v>
      </c>
      <c r="M25" s="254"/>
      <c r="N25" s="256">
        <f t="shared" si="2"/>
        <v>1436</v>
      </c>
      <c r="O25" s="213"/>
      <c r="P25" s="214"/>
      <c r="Q25" s="187">
        <f t="shared" si="3"/>
        <v>1436</v>
      </c>
      <c r="R25" s="183">
        <f t="shared" si="4"/>
        <v>1436</v>
      </c>
      <c r="S25" s="15"/>
      <c r="T25" s="16"/>
      <c r="U25" s="16"/>
      <c r="V25" s="16"/>
      <c r="W25" s="145"/>
      <c r="X25" s="145"/>
    </row>
    <row r="26" spans="2:24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19</v>
      </c>
      <c r="L26" s="251">
        <f>857+1840</f>
        <v>2697</v>
      </c>
      <c r="M26" s="252"/>
      <c r="N26" s="256">
        <f t="shared" si="2"/>
        <v>2716</v>
      </c>
      <c r="O26" s="213"/>
      <c r="P26" s="214"/>
      <c r="Q26" s="187">
        <f t="shared" si="3"/>
        <v>2716</v>
      </c>
      <c r="R26" s="183">
        <f t="shared" si="4"/>
        <v>2716</v>
      </c>
      <c r="S26" s="215"/>
      <c r="T26" s="215"/>
    </row>
    <row r="27" spans="2:24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>
        <v>30</v>
      </c>
      <c r="I27" s="212"/>
      <c r="J27" s="176">
        <f t="shared" si="1"/>
        <v>30</v>
      </c>
      <c r="K27" s="250">
        <v>36</v>
      </c>
      <c r="L27" s="251">
        <f>1332+2020</f>
        <v>3352</v>
      </c>
      <c r="M27" s="252"/>
      <c r="N27" s="256">
        <f t="shared" si="2"/>
        <v>3388</v>
      </c>
      <c r="O27" s="213"/>
      <c r="P27" s="214"/>
      <c r="Q27" s="187">
        <f t="shared" si="3"/>
        <v>3388</v>
      </c>
      <c r="R27" s="183">
        <f t="shared" si="4"/>
        <v>3418</v>
      </c>
      <c r="S27" s="215"/>
      <c r="T27" s="215"/>
    </row>
    <row r="28" spans="2:24" ht="15" customHeight="1" thickBot="1" x14ac:dyDescent="0.35">
      <c r="B28" s="26">
        <v>13</v>
      </c>
      <c r="C28" s="207"/>
      <c r="D28" s="217"/>
      <c r="E28" s="218"/>
      <c r="F28" s="177">
        <f t="shared" si="0"/>
        <v>0</v>
      </c>
      <c r="G28" s="210"/>
      <c r="H28" s="211">
        <v>30</v>
      </c>
      <c r="I28" s="212"/>
      <c r="J28" s="176">
        <f t="shared" si="1"/>
        <v>30</v>
      </c>
      <c r="K28" s="250">
        <v>35</v>
      </c>
      <c r="L28" s="251">
        <f>1351+2370</f>
        <v>3721</v>
      </c>
      <c r="M28" s="252"/>
      <c r="N28" s="256">
        <f t="shared" si="2"/>
        <v>3756</v>
      </c>
      <c r="O28" s="213"/>
      <c r="P28" s="214"/>
      <c r="Q28" s="187">
        <f t="shared" si="3"/>
        <v>3756</v>
      </c>
      <c r="R28" s="183">
        <f t="shared" si="4"/>
        <v>3786</v>
      </c>
      <c r="S28" s="215"/>
      <c r="T28" s="215"/>
    </row>
    <row r="29" spans="2:24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>
        <v>30</v>
      </c>
      <c r="I29" s="212"/>
      <c r="J29" s="176">
        <f t="shared" si="1"/>
        <v>30</v>
      </c>
      <c r="K29" s="250">
        <v>30</v>
      </c>
      <c r="L29" s="251">
        <f>1341+2275</f>
        <v>3616</v>
      </c>
      <c r="M29" s="252"/>
      <c r="N29" s="256">
        <f t="shared" si="2"/>
        <v>3646</v>
      </c>
      <c r="O29" s="213"/>
      <c r="P29" s="214"/>
      <c r="Q29" s="187">
        <f t="shared" si="3"/>
        <v>3646</v>
      </c>
      <c r="R29" s="183">
        <f t="shared" si="4"/>
        <v>3676</v>
      </c>
      <c r="S29" s="215"/>
      <c r="T29" s="215"/>
    </row>
    <row r="30" spans="2:24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>
        <v>30</v>
      </c>
      <c r="I30" s="212"/>
      <c r="J30" s="176">
        <f t="shared" si="1"/>
        <v>30</v>
      </c>
      <c r="K30" s="250">
        <v>30</v>
      </c>
      <c r="L30" s="251">
        <f>1393+2075</f>
        <v>3468</v>
      </c>
      <c r="M30" s="252"/>
      <c r="N30" s="256">
        <f t="shared" si="2"/>
        <v>3498</v>
      </c>
      <c r="O30" s="213"/>
      <c r="P30" s="214"/>
      <c r="Q30" s="187">
        <f t="shared" si="3"/>
        <v>3498</v>
      </c>
      <c r="R30" s="183">
        <f t="shared" si="4"/>
        <v>3528</v>
      </c>
      <c r="S30" s="215"/>
      <c r="T30" s="215"/>
    </row>
    <row r="31" spans="2:24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>
        <v>30</v>
      </c>
      <c r="I31" s="212"/>
      <c r="J31" s="176">
        <f t="shared" si="1"/>
        <v>30</v>
      </c>
      <c r="K31" s="250">
        <v>33</v>
      </c>
      <c r="L31" s="251">
        <f>1445+2495</f>
        <v>3940</v>
      </c>
      <c r="M31" s="252"/>
      <c r="N31" s="256">
        <f t="shared" si="2"/>
        <v>3973</v>
      </c>
      <c r="O31" s="213"/>
      <c r="P31" s="214"/>
      <c r="Q31" s="187">
        <f t="shared" si="3"/>
        <v>3973</v>
      </c>
      <c r="R31" s="183">
        <f t="shared" si="4"/>
        <v>4003</v>
      </c>
      <c r="S31" s="215"/>
      <c r="T31" s="215"/>
    </row>
    <row r="32" spans="2:24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10</v>
      </c>
      <c r="L32" s="251">
        <f>840+945</f>
        <v>1785</v>
      </c>
      <c r="M32" s="252"/>
      <c r="N32" s="256">
        <f t="shared" si="2"/>
        <v>1795</v>
      </c>
      <c r="O32" s="213"/>
      <c r="P32" s="214"/>
      <c r="Q32" s="187">
        <f t="shared" si="3"/>
        <v>1795</v>
      </c>
      <c r="R32" s="183">
        <f t="shared" si="4"/>
        <v>1795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12</v>
      </c>
      <c r="L33" s="251">
        <v>1524</v>
      </c>
      <c r="M33" s="252"/>
      <c r="N33" s="256">
        <f t="shared" si="2"/>
        <v>1536</v>
      </c>
      <c r="O33" s="213"/>
      <c r="P33" s="214"/>
      <c r="Q33" s="187">
        <f t="shared" si="3"/>
        <v>1536</v>
      </c>
      <c r="R33" s="183">
        <f t="shared" si="4"/>
        <v>1536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>
        <v>30</v>
      </c>
      <c r="I34" s="212"/>
      <c r="J34" s="176">
        <f t="shared" si="1"/>
        <v>30</v>
      </c>
      <c r="K34" s="250">
        <v>27</v>
      </c>
      <c r="L34" s="251">
        <f>1700+1462</f>
        <v>3162</v>
      </c>
      <c r="M34" s="252">
        <f>52+65+65+65+195+65</f>
        <v>507</v>
      </c>
      <c r="N34" s="256">
        <f t="shared" si="2"/>
        <v>3696</v>
      </c>
      <c r="O34" s="213"/>
      <c r="P34" s="214"/>
      <c r="Q34" s="187">
        <f t="shared" si="3"/>
        <v>3696</v>
      </c>
      <c r="R34" s="183">
        <f t="shared" si="4"/>
        <v>3726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>
        <v>30</v>
      </c>
      <c r="I35" s="212"/>
      <c r="J35" s="176">
        <f t="shared" si="1"/>
        <v>30</v>
      </c>
      <c r="K35" s="250">
        <v>34</v>
      </c>
      <c r="L35" s="251">
        <f>1835+2680</f>
        <v>4515</v>
      </c>
      <c r="M35" s="252">
        <f>65+195+130+130+130+65</f>
        <v>715</v>
      </c>
      <c r="N35" s="256">
        <f t="shared" si="2"/>
        <v>5264</v>
      </c>
      <c r="O35" s="213"/>
      <c r="P35" s="214"/>
      <c r="Q35" s="187">
        <f t="shared" si="3"/>
        <v>5264</v>
      </c>
      <c r="R35" s="183">
        <f t="shared" si="4"/>
        <v>5294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>
        <v>30</v>
      </c>
      <c r="I36" s="212"/>
      <c r="J36" s="176">
        <f t="shared" si="1"/>
        <v>30</v>
      </c>
      <c r="K36" s="250">
        <v>32</v>
      </c>
      <c r="L36" s="251">
        <f>1514+2015</f>
        <v>3529</v>
      </c>
      <c r="M36" s="252">
        <f>65+195</f>
        <v>260</v>
      </c>
      <c r="N36" s="256">
        <f t="shared" si="2"/>
        <v>3821</v>
      </c>
      <c r="O36" s="213"/>
      <c r="P36" s="214"/>
      <c r="Q36" s="187">
        <f t="shared" si="3"/>
        <v>3821</v>
      </c>
      <c r="R36" s="183">
        <f t="shared" si="4"/>
        <v>3851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>
        <v>30</v>
      </c>
      <c r="I37" s="212"/>
      <c r="J37" s="176">
        <f t="shared" si="1"/>
        <v>30</v>
      </c>
      <c r="K37" s="250">
        <v>34</v>
      </c>
      <c r="L37" s="251">
        <f>1345+2055</f>
        <v>3400</v>
      </c>
      <c r="M37" s="252">
        <v>65</v>
      </c>
      <c r="N37" s="256">
        <f t="shared" si="2"/>
        <v>3499</v>
      </c>
      <c r="O37" s="213"/>
      <c r="P37" s="214"/>
      <c r="Q37" s="187">
        <f t="shared" si="3"/>
        <v>3499</v>
      </c>
      <c r="R37" s="183">
        <f t="shared" si="4"/>
        <v>3529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>
        <v>30</v>
      </c>
      <c r="I38" s="212"/>
      <c r="J38" s="176">
        <f t="shared" si="1"/>
        <v>30</v>
      </c>
      <c r="K38" s="250">
        <v>34</v>
      </c>
      <c r="L38" s="251">
        <f>1425+2680</f>
        <v>4105</v>
      </c>
      <c r="M38" s="252">
        <v>65</v>
      </c>
      <c r="N38" s="256">
        <f t="shared" si="2"/>
        <v>4204</v>
      </c>
      <c r="O38" s="213"/>
      <c r="P38" s="214"/>
      <c r="Q38" s="187">
        <f t="shared" si="3"/>
        <v>4204</v>
      </c>
      <c r="R38" s="183">
        <f t="shared" si="4"/>
        <v>4234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10</v>
      </c>
      <c r="L39" s="251">
        <f>980+130</f>
        <v>1110</v>
      </c>
      <c r="M39" s="252"/>
      <c r="N39" s="256">
        <f t="shared" si="2"/>
        <v>1120</v>
      </c>
      <c r="O39" s="213"/>
      <c r="P39" s="214"/>
      <c r="Q39" s="187">
        <f t="shared" si="3"/>
        <v>1120</v>
      </c>
      <c r="R39" s="183">
        <f t="shared" si="4"/>
        <v>1120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14</v>
      </c>
      <c r="L40" s="251">
        <f>980+990</f>
        <v>1970</v>
      </c>
      <c r="M40" s="252"/>
      <c r="N40" s="256">
        <f t="shared" si="2"/>
        <v>1984</v>
      </c>
      <c r="O40" s="213"/>
      <c r="P40" s="214"/>
      <c r="Q40" s="187">
        <f t="shared" si="3"/>
        <v>1984</v>
      </c>
      <c r="R40" s="183">
        <f t="shared" si="4"/>
        <v>1984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>
        <v>30</v>
      </c>
      <c r="I41" s="212"/>
      <c r="J41" s="176">
        <f t="shared" si="1"/>
        <v>30</v>
      </c>
      <c r="K41" s="250">
        <v>34</v>
      </c>
      <c r="L41" s="251">
        <f>1250+2655</f>
        <v>3905</v>
      </c>
      <c r="M41" s="252"/>
      <c r="N41" s="256">
        <f t="shared" si="2"/>
        <v>3939</v>
      </c>
      <c r="O41" s="213"/>
      <c r="P41" s="214"/>
      <c r="Q41" s="187">
        <f t="shared" si="3"/>
        <v>3939</v>
      </c>
      <c r="R41" s="183">
        <f t="shared" si="4"/>
        <v>3969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>
        <v>30</v>
      </c>
      <c r="I42" s="212"/>
      <c r="J42" s="176">
        <f t="shared" si="1"/>
        <v>30</v>
      </c>
      <c r="K42" s="250">
        <v>33</v>
      </c>
      <c r="L42" s="251">
        <f>1385+2505</f>
        <v>3890</v>
      </c>
      <c r="M42" s="252"/>
      <c r="N42" s="256">
        <f t="shared" si="2"/>
        <v>3923</v>
      </c>
      <c r="O42" s="213"/>
      <c r="P42" s="214"/>
      <c r="Q42" s="187">
        <f t="shared" si="3"/>
        <v>3923</v>
      </c>
      <c r="R42" s="183">
        <f t="shared" si="4"/>
        <v>3953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>
        <v>30</v>
      </c>
      <c r="I43" s="212"/>
      <c r="J43" s="176">
        <f t="shared" si="1"/>
        <v>30</v>
      </c>
      <c r="K43" s="250">
        <v>31</v>
      </c>
      <c r="L43" s="251">
        <f>1360+2405</f>
        <v>3765</v>
      </c>
      <c r="M43" s="252"/>
      <c r="N43" s="256">
        <f t="shared" si="2"/>
        <v>3796</v>
      </c>
      <c r="O43" s="213"/>
      <c r="P43" s="214"/>
      <c r="Q43" s="187">
        <f t="shared" si="3"/>
        <v>3796</v>
      </c>
      <c r="R43" s="183">
        <f t="shared" si="4"/>
        <v>3826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>
        <v>30</v>
      </c>
      <c r="I44" s="212"/>
      <c r="J44" s="176">
        <f t="shared" si="1"/>
        <v>30</v>
      </c>
      <c r="K44" s="250">
        <v>33</v>
      </c>
      <c r="L44" s="251">
        <f>1385+2855</f>
        <v>4240</v>
      </c>
      <c r="M44" s="252"/>
      <c r="N44" s="256">
        <f t="shared" si="2"/>
        <v>4273</v>
      </c>
      <c r="O44" s="213"/>
      <c r="P44" s="214"/>
      <c r="Q44" s="187">
        <f t="shared" si="3"/>
        <v>4273</v>
      </c>
      <c r="R44" s="183">
        <f t="shared" si="4"/>
        <v>4303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>
        <v>30</v>
      </c>
      <c r="I45" s="212"/>
      <c r="J45" s="176">
        <f t="shared" si="1"/>
        <v>30</v>
      </c>
      <c r="K45" s="250">
        <v>31</v>
      </c>
      <c r="L45" s="251">
        <f>1485+3210</f>
        <v>4695</v>
      </c>
      <c r="M45" s="252"/>
      <c r="N45" s="256">
        <f t="shared" si="2"/>
        <v>4726</v>
      </c>
      <c r="O45" s="213"/>
      <c r="P45" s="214"/>
      <c r="Q45" s="187">
        <f t="shared" si="3"/>
        <v>4726</v>
      </c>
      <c r="R45" s="183">
        <f t="shared" si="4"/>
        <v>4756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660</v>
      </c>
      <c r="I48" s="182">
        <f t="shared" si="5"/>
        <v>900</v>
      </c>
      <c r="J48" s="175">
        <f>SUM(J16:J46)</f>
        <v>1560</v>
      </c>
      <c r="K48" s="261">
        <f t="shared" si="5"/>
        <v>834</v>
      </c>
      <c r="L48" s="259">
        <f t="shared" si="5"/>
        <v>96401</v>
      </c>
      <c r="M48" s="260">
        <f t="shared" si="5"/>
        <v>1612</v>
      </c>
      <c r="N48" s="258">
        <f>SUM(N16:N46)</f>
        <v>98847</v>
      </c>
      <c r="O48" s="195">
        <f t="shared" si="5"/>
        <v>0</v>
      </c>
      <c r="P48" s="195">
        <f t="shared" si="5"/>
        <v>0</v>
      </c>
      <c r="Q48" s="194">
        <f>SUM(Q16:Q46)</f>
        <v>98847</v>
      </c>
      <c r="R48" s="184">
        <f>SUM(R16:R46)</f>
        <v>100407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100407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7" zoomScale="65" zoomScaleNormal="65" workbookViewId="0">
      <pane xSplit="1" topLeftCell="B1" activePane="topRight" state="frozen"/>
      <selection activeCell="R13" sqref="R13"/>
      <selection pane="topRight"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8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15</v>
      </c>
      <c r="L16" s="251">
        <f>8+5+4+828+30+20+20</f>
        <v>915</v>
      </c>
      <c r="M16" s="252"/>
      <c r="N16" s="256">
        <f>+K16+L16+M16</f>
        <v>930</v>
      </c>
      <c r="O16" s="235"/>
      <c r="P16" s="234"/>
      <c r="Q16" s="187">
        <f>+P16+O16+N16</f>
        <v>930</v>
      </c>
      <c r="R16" s="183">
        <f>+Q16+J16+F16</f>
        <v>930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15</v>
      </c>
      <c r="L17" s="251">
        <f>8+5+4+944+30+20+20</f>
        <v>1031</v>
      </c>
      <c r="M17" s="252"/>
      <c r="N17" s="256">
        <f t="shared" ref="N17:N46" si="2">+K17+L17+M17</f>
        <v>1046</v>
      </c>
      <c r="O17" s="213"/>
      <c r="P17" s="214"/>
      <c r="Q17" s="187">
        <f t="shared" ref="Q17:Q46" si="3">+P17+O17+N17</f>
        <v>1046</v>
      </c>
      <c r="R17" s="183">
        <f t="shared" ref="R17:R46" si="4">+Q17+J17+F17</f>
        <v>1046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15</v>
      </c>
      <c r="L20" s="251">
        <f>5+8+4+880+30+20+20+60</f>
        <v>1027</v>
      </c>
      <c r="M20" s="252"/>
      <c r="N20" s="256">
        <f t="shared" si="2"/>
        <v>1042</v>
      </c>
      <c r="O20" s="213"/>
      <c r="P20" s="214"/>
      <c r="Q20" s="187">
        <f t="shared" si="3"/>
        <v>1042</v>
      </c>
      <c r="R20" s="183">
        <f t="shared" si="4"/>
        <v>1042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15</v>
      </c>
      <c r="L21" s="251">
        <f>5+8+4+955+30+20+20+60</f>
        <v>1102</v>
      </c>
      <c r="M21" s="252"/>
      <c r="N21" s="256">
        <f t="shared" si="2"/>
        <v>1117</v>
      </c>
      <c r="O21" s="213"/>
      <c r="P21" s="214"/>
      <c r="Q21" s="187">
        <f t="shared" si="3"/>
        <v>1117</v>
      </c>
      <c r="R21" s="183">
        <f t="shared" si="4"/>
        <v>1117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15</v>
      </c>
      <c r="L22" s="251">
        <f>5+8+4+948+30+60+20+200</f>
        <v>1275</v>
      </c>
      <c r="M22" s="252"/>
      <c r="N22" s="256">
        <f t="shared" si="2"/>
        <v>1290</v>
      </c>
      <c r="O22" s="213"/>
      <c r="P22" s="214"/>
      <c r="Q22" s="187">
        <f t="shared" si="3"/>
        <v>1290</v>
      </c>
      <c r="R22" s="183">
        <f t="shared" si="4"/>
        <v>1290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15</v>
      </c>
      <c r="L23" s="251">
        <f>5+8+4+894+30+60+20+200</f>
        <v>1221</v>
      </c>
      <c r="M23" s="252"/>
      <c r="N23" s="256">
        <f t="shared" si="2"/>
        <v>1236</v>
      </c>
      <c r="O23" s="213"/>
      <c r="P23" s="214"/>
      <c r="Q23" s="187">
        <f t="shared" si="3"/>
        <v>1236</v>
      </c>
      <c r="R23" s="183">
        <f t="shared" si="4"/>
        <v>1236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15</v>
      </c>
      <c r="L24" s="251">
        <f>5+8+4+1044+30+60+20</f>
        <v>1171</v>
      </c>
      <c r="M24" s="252"/>
      <c r="N24" s="256">
        <f t="shared" si="2"/>
        <v>1186</v>
      </c>
      <c r="O24" s="213"/>
      <c r="P24" s="214"/>
      <c r="Q24" s="187">
        <f t="shared" si="3"/>
        <v>1186</v>
      </c>
      <c r="R24" s="183">
        <f t="shared" si="4"/>
        <v>1186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1">
        <v>15</v>
      </c>
      <c r="L27" s="251">
        <f>5+8+4+864+30+60+20</f>
        <v>991</v>
      </c>
      <c r="M27" s="252"/>
      <c r="N27" s="256">
        <f t="shared" si="2"/>
        <v>1006</v>
      </c>
      <c r="O27" s="213"/>
      <c r="P27" s="214"/>
      <c r="Q27" s="187">
        <f t="shared" si="3"/>
        <v>1006</v>
      </c>
      <c r="R27" s="183">
        <f t="shared" si="4"/>
        <v>1006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15</v>
      </c>
      <c r="L28" s="251">
        <f>5+8+4+858+30+60+20</f>
        <v>985</v>
      </c>
      <c r="M28" s="252"/>
      <c r="N28" s="256">
        <f t="shared" si="2"/>
        <v>1000</v>
      </c>
      <c r="O28" s="213"/>
      <c r="P28" s="214"/>
      <c r="Q28" s="187">
        <f t="shared" si="3"/>
        <v>1000</v>
      </c>
      <c r="R28" s="183">
        <f t="shared" si="4"/>
        <v>1000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15</v>
      </c>
      <c r="L29" s="251">
        <f>5+8+4+770+30+60+20</f>
        <v>897</v>
      </c>
      <c r="M29" s="252"/>
      <c r="N29" s="256">
        <f t="shared" si="2"/>
        <v>912</v>
      </c>
      <c r="O29" s="213"/>
      <c r="P29" s="214"/>
      <c r="Q29" s="187">
        <f t="shared" si="3"/>
        <v>912</v>
      </c>
      <c r="R29" s="183">
        <f t="shared" si="4"/>
        <v>912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15</v>
      </c>
      <c r="L30" s="251">
        <f>5+4+8+833+30+60+20</f>
        <v>960</v>
      </c>
      <c r="M30" s="252"/>
      <c r="N30" s="256">
        <f t="shared" si="2"/>
        <v>975</v>
      </c>
      <c r="O30" s="213"/>
      <c r="P30" s="214"/>
      <c r="Q30" s="187">
        <f t="shared" si="3"/>
        <v>975</v>
      </c>
      <c r="R30" s="183">
        <f t="shared" si="4"/>
        <v>975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15</v>
      </c>
      <c r="L31" s="251">
        <f>5+4+8+860+30+60+20</f>
        <v>987</v>
      </c>
      <c r="M31" s="252"/>
      <c r="N31" s="256">
        <f t="shared" si="2"/>
        <v>1002</v>
      </c>
      <c r="O31" s="213"/>
      <c r="P31" s="214"/>
      <c r="Q31" s="187">
        <f t="shared" si="3"/>
        <v>1002</v>
      </c>
      <c r="R31" s="183">
        <f t="shared" si="4"/>
        <v>1002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15</v>
      </c>
      <c r="L33" s="251">
        <v>300</v>
      </c>
      <c r="M33" s="252"/>
      <c r="N33" s="256">
        <f t="shared" si="2"/>
        <v>315</v>
      </c>
      <c r="O33" s="213"/>
      <c r="P33" s="214"/>
      <c r="Q33" s="187">
        <f t="shared" si="3"/>
        <v>315</v>
      </c>
      <c r="R33" s="183">
        <f t="shared" si="4"/>
        <v>315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15</v>
      </c>
      <c r="L34" s="251">
        <f>30+4+8+5+1049+60+20+104+20</f>
        <v>1300</v>
      </c>
      <c r="M34" s="252"/>
      <c r="N34" s="256">
        <f t="shared" si="2"/>
        <v>1315</v>
      </c>
      <c r="O34" s="213"/>
      <c r="P34" s="214"/>
      <c r="Q34" s="187">
        <f t="shared" si="3"/>
        <v>1315</v>
      </c>
      <c r="R34" s="183">
        <f t="shared" si="4"/>
        <v>1315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15</v>
      </c>
      <c r="L35" s="251">
        <f>10+5+8+4+865+30+20+60+20</f>
        <v>1022</v>
      </c>
      <c r="M35" s="252"/>
      <c r="N35" s="256">
        <f t="shared" si="2"/>
        <v>1037</v>
      </c>
      <c r="O35" s="213"/>
      <c r="P35" s="214"/>
      <c r="Q35" s="187">
        <f t="shared" si="3"/>
        <v>1037</v>
      </c>
      <c r="R35" s="183">
        <f t="shared" si="4"/>
        <v>1037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15</v>
      </c>
      <c r="L36" s="251">
        <f>5+8+4+907+45+20+60+20</f>
        <v>1069</v>
      </c>
      <c r="M36" s="252"/>
      <c r="N36" s="256">
        <f t="shared" si="2"/>
        <v>1084</v>
      </c>
      <c r="O36" s="213"/>
      <c r="P36" s="214"/>
      <c r="Q36" s="187">
        <f t="shared" si="3"/>
        <v>1084</v>
      </c>
      <c r="R36" s="183">
        <f t="shared" si="4"/>
        <v>1084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15</v>
      </c>
      <c r="L37" s="251">
        <f>5+8+4+973+45+20+60+20</f>
        <v>1135</v>
      </c>
      <c r="M37" s="252"/>
      <c r="N37" s="256">
        <f t="shared" si="2"/>
        <v>1150</v>
      </c>
      <c r="O37" s="213"/>
      <c r="P37" s="214"/>
      <c r="Q37" s="187">
        <f t="shared" si="3"/>
        <v>1150</v>
      </c>
      <c r="R37" s="183">
        <f t="shared" si="4"/>
        <v>1150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15</v>
      </c>
      <c r="L38" s="251">
        <f>5+8+4+853+45+20+60+20</f>
        <v>1015</v>
      </c>
      <c r="M38" s="252"/>
      <c r="N38" s="256">
        <f t="shared" si="2"/>
        <v>1030</v>
      </c>
      <c r="O38" s="213"/>
      <c r="P38" s="214"/>
      <c r="Q38" s="187">
        <f t="shared" si="3"/>
        <v>1030</v>
      </c>
      <c r="R38" s="183">
        <f t="shared" si="4"/>
        <v>1030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15</v>
      </c>
      <c r="L41" s="251">
        <f>5+8+4+911+45+20+60+5</f>
        <v>1058</v>
      </c>
      <c r="M41" s="252"/>
      <c r="N41" s="256">
        <f t="shared" si="2"/>
        <v>1073</v>
      </c>
      <c r="O41" s="213"/>
      <c r="P41" s="214"/>
      <c r="Q41" s="187">
        <f t="shared" si="3"/>
        <v>1073</v>
      </c>
      <c r="R41" s="183">
        <f t="shared" si="4"/>
        <v>1073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15</v>
      </c>
      <c r="L42" s="251">
        <f>5+8+4+857+30+20+60+5</f>
        <v>989</v>
      </c>
      <c r="M42" s="252"/>
      <c r="N42" s="256">
        <f t="shared" si="2"/>
        <v>1004</v>
      </c>
      <c r="O42" s="213"/>
      <c r="P42" s="214"/>
      <c r="Q42" s="187">
        <f t="shared" si="3"/>
        <v>1004</v>
      </c>
      <c r="R42" s="183">
        <f t="shared" si="4"/>
        <v>1004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15</v>
      </c>
      <c r="L43" s="251">
        <f>5+8+4+853+30+20+60+5</f>
        <v>985</v>
      </c>
      <c r="M43" s="252"/>
      <c r="N43" s="256">
        <f t="shared" si="2"/>
        <v>1000</v>
      </c>
      <c r="O43" s="213"/>
      <c r="P43" s="214"/>
      <c r="Q43" s="187">
        <f t="shared" si="3"/>
        <v>1000</v>
      </c>
      <c r="R43" s="183">
        <f t="shared" si="4"/>
        <v>1000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15</v>
      </c>
      <c r="L44" s="251">
        <f>5+8+4+803+30+20+60+5</f>
        <v>935</v>
      </c>
      <c r="M44" s="252"/>
      <c r="N44" s="256">
        <f t="shared" si="2"/>
        <v>950</v>
      </c>
      <c r="O44" s="213"/>
      <c r="P44" s="214"/>
      <c r="Q44" s="187">
        <f t="shared" si="3"/>
        <v>950</v>
      </c>
      <c r="R44" s="183">
        <f t="shared" si="4"/>
        <v>950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15</v>
      </c>
      <c r="L45" s="251">
        <f>5+8+4+966+30+20+60+5</f>
        <v>1098</v>
      </c>
      <c r="M45" s="252"/>
      <c r="N45" s="256">
        <f t="shared" si="2"/>
        <v>1113</v>
      </c>
      <c r="O45" s="213"/>
      <c r="P45" s="214"/>
      <c r="Q45" s="187">
        <f t="shared" si="3"/>
        <v>1113</v>
      </c>
      <c r="R45" s="183">
        <f t="shared" si="4"/>
        <v>1113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345</v>
      </c>
      <c r="L48" s="259">
        <f t="shared" si="5"/>
        <v>23468</v>
      </c>
      <c r="M48" s="260">
        <f t="shared" si="5"/>
        <v>0</v>
      </c>
      <c r="N48" s="258">
        <f>SUM(N16:N46)</f>
        <v>23813</v>
      </c>
      <c r="O48" s="195">
        <f t="shared" si="5"/>
        <v>0</v>
      </c>
      <c r="P48" s="195">
        <f t="shared" si="5"/>
        <v>0</v>
      </c>
      <c r="Q48" s="194">
        <f>SUM(Q16:Q46)</f>
        <v>23813</v>
      </c>
      <c r="R48" s="185">
        <f>SUM(R16:R46)</f>
        <v>23813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23813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9" zoomScale="59" zoomScaleNormal="59" workbookViewId="0">
      <selection activeCell="M37" sqref="M37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42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16</v>
      </c>
      <c r="L16" s="251">
        <f>15+8+10+445+10+10</f>
        <v>498</v>
      </c>
      <c r="M16" s="252"/>
      <c r="N16" s="256">
        <f>+K16+L16+M16</f>
        <v>514</v>
      </c>
      <c r="O16" s="235"/>
      <c r="P16" s="234"/>
      <c r="Q16" s="187">
        <f>+P16+O16+N16</f>
        <v>514</v>
      </c>
      <c r="R16" s="183">
        <f>+Q16+J16+F16</f>
        <v>514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16</v>
      </c>
      <c r="L17" s="251">
        <f>15+8+10+557+10+10</f>
        <v>610</v>
      </c>
      <c r="M17" s="252"/>
      <c r="N17" s="256">
        <f t="shared" ref="N17:N46" si="2">+K17+L17+M17</f>
        <v>626</v>
      </c>
      <c r="O17" s="213"/>
      <c r="P17" s="214"/>
      <c r="Q17" s="187">
        <f t="shared" ref="Q17:Q46" si="3">+P17+O17+N17</f>
        <v>626</v>
      </c>
      <c r="R17" s="183">
        <f t="shared" ref="R17:R46" si="4">+Q17+J17+F17</f>
        <v>626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17</v>
      </c>
      <c r="L20" s="251">
        <f>15+8+10+558+10+10</f>
        <v>611</v>
      </c>
      <c r="M20" s="252"/>
      <c r="N20" s="256">
        <f t="shared" si="2"/>
        <v>628</v>
      </c>
      <c r="O20" s="213"/>
      <c r="P20" s="214"/>
      <c r="Q20" s="187">
        <f t="shared" si="3"/>
        <v>628</v>
      </c>
      <c r="R20" s="183">
        <f t="shared" si="4"/>
        <v>628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17</v>
      </c>
      <c r="L21" s="251">
        <f>15+8+10+515+10+10+75+15</f>
        <v>658</v>
      </c>
      <c r="M21" s="252"/>
      <c r="N21" s="256">
        <f t="shared" si="2"/>
        <v>675</v>
      </c>
      <c r="O21" s="213"/>
      <c r="P21" s="214"/>
      <c r="Q21" s="187">
        <f t="shared" si="3"/>
        <v>675</v>
      </c>
      <c r="R21" s="183">
        <f t="shared" si="4"/>
        <v>675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16</v>
      </c>
      <c r="L22" s="251">
        <f>15+8+10+438+15+10+10+5</f>
        <v>511</v>
      </c>
      <c r="M22" s="252"/>
      <c r="N22" s="256">
        <f t="shared" si="2"/>
        <v>527</v>
      </c>
      <c r="O22" s="213"/>
      <c r="P22" s="214"/>
      <c r="Q22" s="187">
        <f t="shared" si="3"/>
        <v>527</v>
      </c>
      <c r="R22" s="183">
        <f t="shared" si="4"/>
        <v>527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17</v>
      </c>
      <c r="L23" s="251">
        <f>15+8+10+452+10+10+10</f>
        <v>515</v>
      </c>
      <c r="M23" s="252"/>
      <c r="N23" s="256">
        <f t="shared" si="2"/>
        <v>532</v>
      </c>
      <c r="O23" s="213"/>
      <c r="P23" s="214"/>
      <c r="Q23" s="187">
        <f t="shared" si="3"/>
        <v>532</v>
      </c>
      <c r="R23" s="183">
        <f t="shared" si="4"/>
        <v>532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17</v>
      </c>
      <c r="L24" s="251">
        <f>15+8+10+502+10+10+50</f>
        <v>605</v>
      </c>
      <c r="M24" s="252"/>
      <c r="N24" s="256">
        <f t="shared" si="2"/>
        <v>622</v>
      </c>
      <c r="O24" s="213"/>
      <c r="P24" s="214"/>
      <c r="Q24" s="187">
        <f t="shared" si="3"/>
        <v>622</v>
      </c>
      <c r="R24" s="183">
        <f t="shared" si="4"/>
        <v>622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17</v>
      </c>
      <c r="L27" s="251">
        <f>15+8+10+572+10+10+17</f>
        <v>642</v>
      </c>
      <c r="M27" s="252"/>
      <c r="N27" s="256">
        <f t="shared" si="2"/>
        <v>659</v>
      </c>
      <c r="O27" s="213"/>
      <c r="P27" s="214"/>
      <c r="Q27" s="187">
        <f t="shared" si="3"/>
        <v>659</v>
      </c>
      <c r="R27" s="183">
        <f t="shared" si="4"/>
        <v>659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17</v>
      </c>
      <c r="L28" s="251">
        <f>15+8+10+556+10+10</f>
        <v>609</v>
      </c>
      <c r="M28" s="252"/>
      <c r="N28" s="256">
        <f t="shared" si="2"/>
        <v>626</v>
      </c>
      <c r="O28" s="213"/>
      <c r="P28" s="214"/>
      <c r="Q28" s="187">
        <f t="shared" si="3"/>
        <v>626</v>
      </c>
      <c r="R28" s="183">
        <f t="shared" si="4"/>
        <v>626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16</v>
      </c>
      <c r="L29" s="251">
        <f>8+15+7+462+10+10+10</f>
        <v>522</v>
      </c>
      <c r="M29" s="252"/>
      <c r="N29" s="256">
        <f t="shared" si="2"/>
        <v>538</v>
      </c>
      <c r="O29" s="213"/>
      <c r="P29" s="214"/>
      <c r="Q29" s="187">
        <f t="shared" si="3"/>
        <v>538</v>
      </c>
      <c r="R29" s="183">
        <f t="shared" si="4"/>
        <v>538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16</v>
      </c>
      <c r="L30" s="251">
        <f>15+8+10+544+10+10+35</f>
        <v>632</v>
      </c>
      <c r="M30" s="252"/>
      <c r="N30" s="256">
        <f t="shared" si="2"/>
        <v>648</v>
      </c>
      <c r="O30" s="213"/>
      <c r="P30" s="214"/>
      <c r="Q30" s="187">
        <f t="shared" si="3"/>
        <v>648</v>
      </c>
      <c r="R30" s="183">
        <f t="shared" si="4"/>
        <v>648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16</v>
      </c>
      <c r="L31" s="251">
        <f>15+8+10+452+10+10+10</f>
        <v>515</v>
      </c>
      <c r="M31" s="252"/>
      <c r="N31" s="256">
        <f t="shared" si="2"/>
        <v>531</v>
      </c>
      <c r="O31" s="213"/>
      <c r="P31" s="214"/>
      <c r="Q31" s="187">
        <f t="shared" si="3"/>
        <v>531</v>
      </c>
      <c r="R31" s="183">
        <f t="shared" si="4"/>
        <v>531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16</v>
      </c>
      <c r="L34" s="251">
        <v>640</v>
      </c>
      <c r="M34" s="252"/>
      <c r="N34" s="256">
        <f t="shared" si="2"/>
        <v>656</v>
      </c>
      <c r="O34" s="213"/>
      <c r="P34" s="214"/>
      <c r="Q34" s="187">
        <f t="shared" si="3"/>
        <v>656</v>
      </c>
      <c r="R34" s="183">
        <f t="shared" si="4"/>
        <v>656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16</v>
      </c>
      <c r="L35" s="251">
        <f>15+8+14+452+10+14+10+10</f>
        <v>533</v>
      </c>
      <c r="M35" s="252"/>
      <c r="N35" s="256">
        <f t="shared" si="2"/>
        <v>549</v>
      </c>
      <c r="O35" s="213"/>
      <c r="P35" s="214"/>
      <c r="Q35" s="187">
        <f t="shared" si="3"/>
        <v>549</v>
      </c>
      <c r="R35" s="183">
        <f t="shared" si="4"/>
        <v>549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16</v>
      </c>
      <c r="L36" s="251">
        <f>15+8+14+574+10+14+10+10</f>
        <v>655</v>
      </c>
      <c r="M36" s="252"/>
      <c r="N36" s="256">
        <f t="shared" si="2"/>
        <v>671</v>
      </c>
      <c r="O36" s="213"/>
      <c r="P36" s="214"/>
      <c r="Q36" s="187">
        <f t="shared" si="3"/>
        <v>671</v>
      </c>
      <c r="R36" s="183">
        <f t="shared" si="4"/>
        <v>671</v>
      </c>
      <c r="S36" s="215"/>
      <c r="T36" s="215"/>
    </row>
    <row r="37" spans="2:20" ht="15" customHeight="1" thickBot="1" x14ac:dyDescent="0.35">
      <c r="B37" s="26" t="s">
        <v>75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16</v>
      </c>
      <c r="L37" s="251">
        <f>18+8+14+452+10+11+10+10</f>
        <v>533</v>
      </c>
      <c r="M37" s="252"/>
      <c r="N37" s="256">
        <f t="shared" si="2"/>
        <v>549</v>
      </c>
      <c r="O37" s="213"/>
      <c r="P37" s="214"/>
      <c r="Q37" s="187">
        <f t="shared" si="3"/>
        <v>549</v>
      </c>
      <c r="R37" s="183">
        <f t="shared" si="4"/>
        <v>549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16</v>
      </c>
      <c r="L38" s="251">
        <f>15+8+10+560+10+11+10+15+10</f>
        <v>649</v>
      </c>
      <c r="M38" s="252"/>
      <c r="N38" s="256">
        <f t="shared" si="2"/>
        <v>665</v>
      </c>
      <c r="O38" s="213"/>
      <c r="P38" s="214"/>
      <c r="Q38" s="187">
        <f t="shared" si="3"/>
        <v>665</v>
      </c>
      <c r="R38" s="183">
        <f t="shared" si="4"/>
        <v>665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16</v>
      </c>
      <c r="L39" s="251">
        <v>300</v>
      </c>
      <c r="M39" s="252"/>
      <c r="N39" s="256">
        <f t="shared" si="2"/>
        <v>316</v>
      </c>
      <c r="O39" s="213"/>
      <c r="P39" s="214"/>
      <c r="Q39" s="187">
        <f t="shared" si="3"/>
        <v>316</v>
      </c>
      <c r="R39" s="183">
        <f t="shared" si="4"/>
        <v>316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16</v>
      </c>
      <c r="L41" s="251">
        <f>15+10+10+585+10+12+15</f>
        <v>657</v>
      </c>
      <c r="M41" s="252"/>
      <c r="N41" s="256">
        <f t="shared" si="2"/>
        <v>673</v>
      </c>
      <c r="O41" s="213"/>
      <c r="P41" s="214"/>
      <c r="Q41" s="187">
        <f t="shared" si="3"/>
        <v>673</v>
      </c>
      <c r="R41" s="183">
        <f t="shared" si="4"/>
        <v>673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16</v>
      </c>
      <c r="L42" s="251">
        <f>15+8+10+532+10+12+12+10</f>
        <v>609</v>
      </c>
      <c r="M42" s="252"/>
      <c r="N42" s="256">
        <f t="shared" si="2"/>
        <v>625</v>
      </c>
      <c r="O42" s="213"/>
      <c r="P42" s="214"/>
      <c r="Q42" s="187">
        <f t="shared" si="3"/>
        <v>625</v>
      </c>
      <c r="R42" s="183">
        <f t="shared" si="4"/>
        <v>625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16</v>
      </c>
      <c r="L43" s="251">
        <f>20+15+8+10+588+10+10+10+12</f>
        <v>683</v>
      </c>
      <c r="M43" s="252"/>
      <c r="N43" s="256">
        <f t="shared" si="2"/>
        <v>699</v>
      </c>
      <c r="O43" s="213"/>
      <c r="P43" s="214"/>
      <c r="Q43" s="187">
        <f t="shared" si="3"/>
        <v>699</v>
      </c>
      <c r="R43" s="183">
        <f t="shared" si="4"/>
        <v>699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17</v>
      </c>
      <c r="L44" s="251">
        <f>15+8+10+443+10+10+10+12+20</f>
        <v>538</v>
      </c>
      <c r="M44" s="252"/>
      <c r="N44" s="256">
        <f t="shared" si="2"/>
        <v>555</v>
      </c>
      <c r="O44" s="213"/>
      <c r="P44" s="214"/>
      <c r="Q44" s="187">
        <f t="shared" si="3"/>
        <v>555</v>
      </c>
      <c r="R44" s="183">
        <f t="shared" si="4"/>
        <v>555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17</v>
      </c>
      <c r="L45" s="251">
        <f>20+10+15+8+10+560+10+12+10+10</f>
        <v>665</v>
      </c>
      <c r="M45" s="252"/>
      <c r="N45" s="256">
        <f t="shared" si="2"/>
        <v>682</v>
      </c>
      <c r="O45" s="213"/>
      <c r="P45" s="214"/>
      <c r="Q45" s="187">
        <f t="shared" si="3"/>
        <v>682</v>
      </c>
      <c r="R45" s="183">
        <f t="shared" si="4"/>
        <v>682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376</v>
      </c>
      <c r="L48" s="259">
        <f t="shared" si="5"/>
        <v>13390</v>
      </c>
      <c r="M48" s="260">
        <f t="shared" si="5"/>
        <v>0</v>
      </c>
      <c r="N48" s="258">
        <f>SUM(N16:N46)</f>
        <v>13766</v>
      </c>
      <c r="O48" s="195">
        <f t="shared" si="5"/>
        <v>0</v>
      </c>
      <c r="P48" s="195">
        <f t="shared" si="5"/>
        <v>0</v>
      </c>
      <c r="Q48" s="194">
        <f>SUM(Q16:Q46)</f>
        <v>13766</v>
      </c>
      <c r="R48" s="185">
        <f>SUM(R16:R46)</f>
        <v>13766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13766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0" zoomScale="72" zoomScaleNormal="72" workbookViewId="0">
      <pane xSplit="1" topLeftCell="B1" activePane="topRight" state="frozen"/>
      <selection activeCell="R13" sqref="R13"/>
      <selection pane="topRight"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4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40</v>
      </c>
      <c r="L16" s="251">
        <f>1010+65+35+100+30+30+20+5+15</f>
        <v>1310</v>
      </c>
      <c r="M16" s="252"/>
      <c r="N16" s="256">
        <f>+K16+L16+M16</f>
        <v>1350</v>
      </c>
      <c r="O16" s="235"/>
      <c r="P16" s="234"/>
      <c r="Q16" s="187">
        <f>+P16+O16+N16</f>
        <v>1350</v>
      </c>
      <c r="R16" s="183">
        <f>+Q16+J16+F16</f>
        <v>1350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40</v>
      </c>
      <c r="L17" s="251">
        <f>895+150+35+100+65+30+35+30+4+16</f>
        <v>1360</v>
      </c>
      <c r="M17" s="252"/>
      <c r="N17" s="256">
        <f t="shared" ref="N17:N46" si="2">+K17+L17+M17</f>
        <v>1400</v>
      </c>
      <c r="O17" s="213"/>
      <c r="P17" s="214"/>
      <c r="Q17" s="187">
        <f t="shared" ref="Q17:Q46" si="3">+P17+O17+N17</f>
        <v>1400</v>
      </c>
      <c r="R17" s="183">
        <f t="shared" ref="R17:R46" si="4">+Q17+J17+F17</f>
        <v>1400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40</v>
      </c>
      <c r="L18" s="251">
        <v>185</v>
      </c>
      <c r="M18" s="252"/>
      <c r="N18" s="256">
        <f t="shared" si="2"/>
        <v>225</v>
      </c>
      <c r="O18" s="213"/>
      <c r="P18" s="214"/>
      <c r="Q18" s="187">
        <f t="shared" si="3"/>
        <v>225</v>
      </c>
      <c r="R18" s="183">
        <f t="shared" si="4"/>
        <v>225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40</v>
      </c>
      <c r="L20" s="251">
        <f>970+60+100+30+35+30+5+15</f>
        <v>1245</v>
      </c>
      <c r="M20" s="252"/>
      <c r="N20" s="256">
        <f t="shared" si="2"/>
        <v>1285</v>
      </c>
      <c r="O20" s="213"/>
      <c r="P20" s="214"/>
      <c r="Q20" s="187">
        <f t="shared" si="3"/>
        <v>1285</v>
      </c>
      <c r="R20" s="183">
        <f t="shared" si="4"/>
        <v>1285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40</v>
      </c>
      <c r="L21" s="251">
        <v>1280</v>
      </c>
      <c r="M21" s="252"/>
      <c r="N21" s="256">
        <f t="shared" si="2"/>
        <v>1320</v>
      </c>
      <c r="O21" s="213"/>
      <c r="P21" s="214"/>
      <c r="Q21" s="187">
        <f t="shared" si="3"/>
        <v>1320</v>
      </c>
      <c r="R21" s="183">
        <f t="shared" si="4"/>
        <v>1320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40</v>
      </c>
      <c r="L22" s="251">
        <f>1000+65+15+100+35+30+30+15+5</f>
        <v>1295</v>
      </c>
      <c r="M22" s="252"/>
      <c r="N22" s="256">
        <f t="shared" si="2"/>
        <v>1335</v>
      </c>
      <c r="O22" s="213"/>
      <c r="P22" s="214"/>
      <c r="Q22" s="187">
        <f t="shared" si="3"/>
        <v>1335</v>
      </c>
      <c r="R22" s="183">
        <f t="shared" si="4"/>
        <v>1335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40</v>
      </c>
      <c r="L23" s="251">
        <f>1003+60+100+20+30+35+30+5+15</f>
        <v>1298</v>
      </c>
      <c r="M23" s="252"/>
      <c r="N23" s="256">
        <f t="shared" si="2"/>
        <v>1338</v>
      </c>
      <c r="O23" s="213"/>
      <c r="P23" s="214"/>
      <c r="Q23" s="187">
        <f t="shared" si="3"/>
        <v>1338</v>
      </c>
      <c r="R23" s="183">
        <f t="shared" si="4"/>
        <v>1338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40</v>
      </c>
      <c r="L24" s="251">
        <f>970+60+100+200+15+35+30+30+5+15</f>
        <v>1460</v>
      </c>
      <c r="M24" s="252"/>
      <c r="N24" s="256">
        <f t="shared" si="2"/>
        <v>1500</v>
      </c>
      <c r="O24" s="213"/>
      <c r="P24" s="214"/>
      <c r="Q24" s="187">
        <f t="shared" si="3"/>
        <v>1500</v>
      </c>
      <c r="R24" s="183">
        <f t="shared" si="4"/>
        <v>1500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40</v>
      </c>
      <c r="L26" s="251">
        <f>60+200</f>
        <v>260</v>
      </c>
      <c r="M26" s="252"/>
      <c r="N26" s="256">
        <f t="shared" si="2"/>
        <v>300</v>
      </c>
      <c r="O26" s="213"/>
      <c r="P26" s="214"/>
      <c r="Q26" s="187">
        <f t="shared" si="3"/>
        <v>300</v>
      </c>
      <c r="R26" s="183">
        <f t="shared" si="4"/>
        <v>300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40</v>
      </c>
      <c r="L27" s="251">
        <f>944+60+100+15+5+36+35+30+5+15</f>
        <v>1245</v>
      </c>
      <c r="M27" s="252"/>
      <c r="N27" s="256">
        <f t="shared" si="2"/>
        <v>1285</v>
      </c>
      <c r="O27" s="213"/>
      <c r="P27" s="214"/>
      <c r="Q27" s="187">
        <f t="shared" si="3"/>
        <v>1285</v>
      </c>
      <c r="R27" s="183">
        <f t="shared" si="4"/>
        <v>1285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40</v>
      </c>
      <c r="L28" s="251">
        <f>952+65+100+45+8+10+30+35+30+5+15</f>
        <v>1295</v>
      </c>
      <c r="M28" s="252"/>
      <c r="N28" s="256">
        <f t="shared" si="2"/>
        <v>1335</v>
      </c>
      <c r="O28" s="213"/>
      <c r="P28" s="214"/>
      <c r="Q28" s="187">
        <f t="shared" si="3"/>
        <v>1335</v>
      </c>
      <c r="R28" s="183">
        <f t="shared" si="4"/>
        <v>1335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40</v>
      </c>
      <c r="L29" s="251">
        <f>995+65+100+15+10+30+35+30+5+15</f>
        <v>1300</v>
      </c>
      <c r="M29" s="252"/>
      <c r="N29" s="256">
        <f t="shared" si="2"/>
        <v>1340</v>
      </c>
      <c r="O29" s="213"/>
      <c r="P29" s="214"/>
      <c r="Q29" s="187">
        <f t="shared" si="3"/>
        <v>1340</v>
      </c>
      <c r="R29" s="183">
        <f t="shared" si="4"/>
        <v>1340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40</v>
      </c>
      <c r="L30" s="251">
        <f>1020+65+100+45+30+35+30+5+15</f>
        <v>1345</v>
      </c>
      <c r="M30" s="252"/>
      <c r="N30" s="256">
        <f t="shared" si="2"/>
        <v>1385</v>
      </c>
      <c r="O30" s="213"/>
      <c r="P30" s="214"/>
      <c r="Q30" s="187">
        <f t="shared" si="3"/>
        <v>1385</v>
      </c>
      <c r="R30" s="183">
        <f t="shared" si="4"/>
        <v>1385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40</v>
      </c>
      <c r="L31" s="251">
        <f>985+65+170+15+10+30+35+30+5+15</f>
        <v>1360</v>
      </c>
      <c r="M31" s="252"/>
      <c r="N31" s="256">
        <f t="shared" si="2"/>
        <v>1400</v>
      </c>
      <c r="O31" s="213"/>
      <c r="P31" s="214"/>
      <c r="Q31" s="187">
        <f t="shared" si="3"/>
        <v>1400</v>
      </c>
      <c r="R31" s="183">
        <f t="shared" si="4"/>
        <v>1400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40</v>
      </c>
      <c r="L34" s="251">
        <f>620+130+85+39+15+33</f>
        <v>922</v>
      </c>
      <c r="M34" s="252"/>
      <c r="N34" s="256">
        <f t="shared" si="2"/>
        <v>962</v>
      </c>
      <c r="O34" s="213"/>
      <c r="P34" s="214"/>
      <c r="Q34" s="187">
        <f t="shared" si="3"/>
        <v>962</v>
      </c>
      <c r="R34" s="183">
        <f t="shared" si="4"/>
        <v>962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40</v>
      </c>
      <c r="L35" s="251">
        <f>940+60+100+8+35+35+30+30+15+15</f>
        <v>1268</v>
      </c>
      <c r="M35" s="252"/>
      <c r="N35" s="256">
        <f t="shared" si="2"/>
        <v>1308</v>
      </c>
      <c r="O35" s="213"/>
      <c r="P35" s="214"/>
      <c r="Q35" s="187">
        <f t="shared" si="3"/>
        <v>1308</v>
      </c>
      <c r="R35" s="183">
        <f t="shared" si="4"/>
        <v>1308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40</v>
      </c>
      <c r="L36" s="251">
        <f>995+60+100+15+30+35+30+5+15</f>
        <v>1285</v>
      </c>
      <c r="M36" s="252"/>
      <c r="N36" s="256">
        <f t="shared" si="2"/>
        <v>1325</v>
      </c>
      <c r="O36" s="213"/>
      <c r="P36" s="214"/>
      <c r="Q36" s="187">
        <f t="shared" si="3"/>
        <v>1325</v>
      </c>
      <c r="R36" s="183">
        <f t="shared" si="4"/>
        <v>1325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40</v>
      </c>
      <c r="L37" s="251">
        <f>1003+60+100+20+10+30+35+30+5+15</f>
        <v>1308</v>
      </c>
      <c r="M37" s="252"/>
      <c r="N37" s="256">
        <f t="shared" si="2"/>
        <v>1348</v>
      </c>
      <c r="O37" s="213"/>
      <c r="P37" s="214"/>
      <c r="Q37" s="187">
        <f t="shared" si="3"/>
        <v>1348</v>
      </c>
      <c r="R37" s="183">
        <f t="shared" si="4"/>
        <v>1348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40</v>
      </c>
      <c r="L38" s="251">
        <f>1002+60+100+35+30+30+15+10+15+15</f>
        <v>1312</v>
      </c>
      <c r="M38" s="252"/>
      <c r="N38" s="256">
        <f t="shared" si="2"/>
        <v>1352</v>
      </c>
      <c r="O38" s="213"/>
      <c r="P38" s="214"/>
      <c r="Q38" s="187">
        <f t="shared" si="3"/>
        <v>1352</v>
      </c>
      <c r="R38" s="183">
        <f t="shared" si="4"/>
        <v>1352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40</v>
      </c>
      <c r="L41" s="251">
        <f>900+60+135+40+30+35+30+10+5+15</f>
        <v>1260</v>
      </c>
      <c r="M41" s="252"/>
      <c r="N41" s="256">
        <f t="shared" si="2"/>
        <v>1300</v>
      </c>
      <c r="O41" s="213"/>
      <c r="P41" s="214"/>
      <c r="Q41" s="187">
        <f t="shared" si="3"/>
        <v>1300</v>
      </c>
      <c r="R41" s="183">
        <f t="shared" si="4"/>
        <v>1300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40</v>
      </c>
      <c r="L42" s="251">
        <f>915+60+135+30+35+35+30+15+5+15</f>
        <v>1275</v>
      </c>
      <c r="M42" s="252"/>
      <c r="N42" s="256">
        <f t="shared" si="2"/>
        <v>1315</v>
      </c>
      <c r="O42" s="213"/>
      <c r="P42" s="214"/>
      <c r="Q42" s="187">
        <f t="shared" si="3"/>
        <v>1315</v>
      </c>
      <c r="R42" s="183">
        <f t="shared" si="4"/>
        <v>1315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40</v>
      </c>
      <c r="L43" s="251">
        <f>994+60+100+30+35+30+10+5+15</f>
        <v>1279</v>
      </c>
      <c r="M43" s="252"/>
      <c r="N43" s="256">
        <f t="shared" si="2"/>
        <v>1319</v>
      </c>
      <c r="O43" s="213"/>
      <c r="P43" s="214"/>
      <c r="Q43" s="187">
        <f t="shared" si="3"/>
        <v>1319</v>
      </c>
      <c r="R43" s="183">
        <f t="shared" si="4"/>
        <v>1319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40</v>
      </c>
      <c r="L44" s="251">
        <f>920+60+100+80+30+35+30+10+5+15</f>
        <v>1285</v>
      </c>
      <c r="M44" s="252"/>
      <c r="N44" s="256">
        <f t="shared" si="2"/>
        <v>1325</v>
      </c>
      <c r="O44" s="213"/>
      <c r="P44" s="214"/>
      <c r="Q44" s="187">
        <f t="shared" si="3"/>
        <v>1325</v>
      </c>
      <c r="R44" s="183">
        <f t="shared" si="4"/>
        <v>1325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40</v>
      </c>
      <c r="L45" s="251">
        <f>945+60+160+30+35+30+20+5+15</f>
        <v>1300</v>
      </c>
      <c r="M45" s="252"/>
      <c r="N45" s="256">
        <f t="shared" si="2"/>
        <v>1340</v>
      </c>
      <c r="O45" s="213"/>
      <c r="P45" s="214"/>
      <c r="Q45" s="187">
        <f t="shared" si="3"/>
        <v>1340</v>
      </c>
      <c r="R45" s="183">
        <f t="shared" si="4"/>
        <v>1340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960</v>
      </c>
      <c r="L48" s="259">
        <f t="shared" si="5"/>
        <v>28732</v>
      </c>
      <c r="M48" s="260">
        <f t="shared" si="5"/>
        <v>0</v>
      </c>
      <c r="N48" s="258">
        <f>SUM(N16:N46)</f>
        <v>29692</v>
      </c>
      <c r="O48" s="195">
        <f t="shared" si="5"/>
        <v>0</v>
      </c>
      <c r="P48" s="195">
        <f t="shared" si="5"/>
        <v>0</v>
      </c>
      <c r="Q48" s="194">
        <f>SUM(Q16:Q46)</f>
        <v>29692</v>
      </c>
      <c r="R48" s="185">
        <f>SUM(R16:R46)</f>
        <v>29692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29692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0" zoomScale="75" zoomScaleNormal="75" workbookViewId="0">
      <pane xSplit="1" topLeftCell="B1" activePane="topRight" state="frozen"/>
      <selection activeCell="R13" sqref="R13"/>
      <selection pane="topRight" activeCell="P41" sqref="P41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14</v>
      </c>
      <c r="L16" s="251">
        <f>558+30+15+25+170</f>
        <v>798</v>
      </c>
      <c r="M16" s="252"/>
      <c r="N16" s="256">
        <f>+K16+L16+M16</f>
        <v>812</v>
      </c>
      <c r="O16" s="235"/>
      <c r="P16" s="234"/>
      <c r="Q16" s="187">
        <f>+P16+O16+N16</f>
        <v>812</v>
      </c>
      <c r="R16" s="183">
        <f>+Q16+J16+F16</f>
        <v>812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14</v>
      </c>
      <c r="L17" s="251">
        <f>591+30+15</f>
        <v>636</v>
      </c>
      <c r="M17" s="252"/>
      <c r="N17" s="256">
        <f t="shared" ref="N17:N46" si="2">+K17+L17+M17</f>
        <v>650</v>
      </c>
      <c r="O17" s="213"/>
      <c r="P17" s="214"/>
      <c r="Q17" s="187">
        <f t="shared" ref="Q17:Q46" si="3">+P17+O17+N17</f>
        <v>650</v>
      </c>
      <c r="R17" s="183">
        <f t="shared" ref="R17:R46" si="4">+Q17+J17+F17</f>
        <v>650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14</v>
      </c>
      <c r="L20" s="251">
        <f>569+30+15+25</f>
        <v>639</v>
      </c>
      <c r="M20" s="252"/>
      <c r="N20" s="256">
        <f t="shared" si="2"/>
        <v>653</v>
      </c>
      <c r="O20" s="213"/>
      <c r="P20" s="214"/>
      <c r="Q20" s="187">
        <f t="shared" si="3"/>
        <v>653</v>
      </c>
      <c r="R20" s="183">
        <f t="shared" si="4"/>
        <v>653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14</v>
      </c>
      <c r="L21" s="251">
        <f>538+30+15+25</f>
        <v>608</v>
      </c>
      <c r="M21" s="252"/>
      <c r="N21" s="256">
        <f t="shared" si="2"/>
        <v>622</v>
      </c>
      <c r="O21" s="213"/>
      <c r="P21" s="214"/>
      <c r="Q21" s="187">
        <f t="shared" si="3"/>
        <v>622</v>
      </c>
      <c r="R21" s="183">
        <f t="shared" si="4"/>
        <v>622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14</v>
      </c>
      <c r="L22" s="251">
        <f>560+30+15+25</f>
        <v>630</v>
      </c>
      <c r="M22" s="252"/>
      <c r="N22" s="256">
        <f t="shared" si="2"/>
        <v>644</v>
      </c>
      <c r="O22" s="213"/>
      <c r="P22" s="214"/>
      <c r="Q22" s="187">
        <f t="shared" si="3"/>
        <v>644</v>
      </c>
      <c r="R22" s="183">
        <f t="shared" si="4"/>
        <v>644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14</v>
      </c>
      <c r="L23" s="251">
        <f>30+558+15+25+20</f>
        <v>648</v>
      </c>
      <c r="M23" s="252"/>
      <c r="N23" s="256">
        <f t="shared" si="2"/>
        <v>662</v>
      </c>
      <c r="O23" s="213"/>
      <c r="P23" s="214"/>
      <c r="Q23" s="187">
        <f t="shared" si="3"/>
        <v>662</v>
      </c>
      <c r="R23" s="183">
        <f t="shared" si="4"/>
        <v>662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13</v>
      </c>
      <c r="L24" s="251">
        <f>566+30+15</f>
        <v>611</v>
      </c>
      <c r="M24" s="252"/>
      <c r="N24" s="256">
        <f t="shared" si="2"/>
        <v>624</v>
      </c>
      <c r="O24" s="213"/>
      <c r="P24" s="214"/>
      <c r="Q24" s="187">
        <f t="shared" si="3"/>
        <v>624</v>
      </c>
      <c r="R24" s="183">
        <f t="shared" si="4"/>
        <v>624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13</v>
      </c>
      <c r="L27" s="251">
        <f>556+30+15+25</f>
        <v>626</v>
      </c>
      <c r="M27" s="252"/>
      <c r="N27" s="256">
        <f t="shared" si="2"/>
        <v>639</v>
      </c>
      <c r="O27" s="213"/>
      <c r="P27" s="214"/>
      <c r="Q27" s="187">
        <f t="shared" si="3"/>
        <v>639</v>
      </c>
      <c r="R27" s="183">
        <f t="shared" si="4"/>
        <v>639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14</v>
      </c>
      <c r="L28" s="251">
        <f>565+30+15+25</f>
        <v>635</v>
      </c>
      <c r="M28" s="252"/>
      <c r="N28" s="256">
        <f t="shared" si="2"/>
        <v>649</v>
      </c>
      <c r="O28" s="213"/>
      <c r="P28" s="214"/>
      <c r="Q28" s="187">
        <f t="shared" si="3"/>
        <v>649</v>
      </c>
      <c r="R28" s="183">
        <f t="shared" si="4"/>
        <v>649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14</v>
      </c>
      <c r="L29" s="251">
        <f>580+30+15+25</f>
        <v>650</v>
      </c>
      <c r="M29" s="252"/>
      <c r="N29" s="256">
        <f t="shared" si="2"/>
        <v>664</v>
      </c>
      <c r="O29" s="213"/>
      <c r="P29" s="214"/>
      <c r="Q29" s="187">
        <f t="shared" si="3"/>
        <v>664</v>
      </c>
      <c r="R29" s="183">
        <f t="shared" si="4"/>
        <v>664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14</v>
      </c>
      <c r="L30" s="251">
        <f>539+30+15+25</f>
        <v>609</v>
      </c>
      <c r="M30" s="252">
        <f>30+29</f>
        <v>59</v>
      </c>
      <c r="N30" s="256">
        <f t="shared" si="2"/>
        <v>682</v>
      </c>
      <c r="O30" s="213"/>
      <c r="P30" s="214"/>
      <c r="Q30" s="187">
        <f t="shared" si="3"/>
        <v>682</v>
      </c>
      <c r="R30" s="183">
        <f t="shared" si="4"/>
        <v>682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13</v>
      </c>
      <c r="L31" s="251">
        <f>569+30+15+25</f>
        <v>639</v>
      </c>
      <c r="M31" s="252"/>
      <c r="N31" s="256">
        <f t="shared" si="2"/>
        <v>652</v>
      </c>
      <c r="O31" s="213"/>
      <c r="P31" s="214"/>
      <c r="Q31" s="187">
        <f t="shared" si="3"/>
        <v>652</v>
      </c>
      <c r="R31" s="183">
        <f t="shared" si="4"/>
        <v>652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14</v>
      </c>
      <c r="L32" s="251">
        <v>80</v>
      </c>
      <c r="M32" s="252"/>
      <c r="N32" s="256">
        <f t="shared" si="2"/>
        <v>94</v>
      </c>
      <c r="O32" s="213"/>
      <c r="P32" s="214"/>
      <c r="Q32" s="187">
        <f t="shared" si="3"/>
        <v>94</v>
      </c>
      <c r="R32" s="183">
        <f t="shared" si="4"/>
        <v>94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14</v>
      </c>
      <c r="L34" s="251">
        <f>600+1485</f>
        <v>2085</v>
      </c>
      <c r="M34" s="252">
        <v>200</v>
      </c>
      <c r="N34" s="256">
        <f t="shared" si="2"/>
        <v>2299</v>
      </c>
      <c r="O34" s="213"/>
      <c r="P34" s="214"/>
      <c r="Q34" s="187">
        <f t="shared" si="3"/>
        <v>2299</v>
      </c>
      <c r="R34" s="183">
        <f t="shared" si="4"/>
        <v>2299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14</v>
      </c>
      <c r="L35" s="251">
        <f>658+15+1350+270</f>
        <v>2293</v>
      </c>
      <c r="M35" s="252"/>
      <c r="N35" s="256">
        <f t="shared" si="2"/>
        <v>2307</v>
      </c>
      <c r="O35" s="213"/>
      <c r="P35" s="214"/>
      <c r="Q35" s="187">
        <f t="shared" si="3"/>
        <v>2307</v>
      </c>
      <c r="R35" s="183">
        <f t="shared" si="4"/>
        <v>2307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14</v>
      </c>
      <c r="L36" s="251">
        <f>503+30+15</f>
        <v>548</v>
      </c>
      <c r="M36" s="252">
        <v>810</v>
      </c>
      <c r="N36" s="256">
        <f t="shared" si="2"/>
        <v>1372</v>
      </c>
      <c r="O36" s="213"/>
      <c r="P36" s="214"/>
      <c r="Q36" s="187">
        <f t="shared" si="3"/>
        <v>1372</v>
      </c>
      <c r="R36" s="183">
        <f t="shared" si="4"/>
        <v>1372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14</v>
      </c>
      <c r="L37" s="251">
        <f>603+15+40</f>
        <v>658</v>
      </c>
      <c r="M37" s="252">
        <f>810+405+270</f>
        <v>1485</v>
      </c>
      <c r="N37" s="256">
        <f t="shared" si="2"/>
        <v>2157</v>
      </c>
      <c r="O37" s="213"/>
      <c r="P37" s="214"/>
      <c r="Q37" s="187">
        <f t="shared" si="3"/>
        <v>2157</v>
      </c>
      <c r="R37" s="183">
        <f t="shared" si="4"/>
        <v>2157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14</v>
      </c>
      <c r="L38" s="251">
        <f>638+15</f>
        <v>653</v>
      </c>
      <c r="M38" s="252">
        <f>270+810</f>
        <v>1080</v>
      </c>
      <c r="N38" s="256">
        <f t="shared" si="2"/>
        <v>1747</v>
      </c>
      <c r="O38" s="213"/>
      <c r="P38" s="214"/>
      <c r="Q38" s="187">
        <f t="shared" si="3"/>
        <v>1747</v>
      </c>
      <c r="R38" s="183">
        <f t="shared" si="4"/>
        <v>1747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14</v>
      </c>
      <c r="L39" s="251">
        <v>810</v>
      </c>
      <c r="M39" s="252"/>
      <c r="N39" s="256">
        <f t="shared" si="2"/>
        <v>824</v>
      </c>
      <c r="O39" s="213"/>
      <c r="P39" s="214"/>
      <c r="Q39" s="187">
        <f t="shared" si="3"/>
        <v>824</v>
      </c>
      <c r="R39" s="183">
        <f t="shared" si="4"/>
        <v>824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14</v>
      </c>
      <c r="L41" s="251">
        <f>584+30+15+25</f>
        <v>654</v>
      </c>
      <c r="M41" s="252">
        <v>135</v>
      </c>
      <c r="N41" s="256">
        <f t="shared" si="2"/>
        <v>803</v>
      </c>
      <c r="O41" s="213"/>
      <c r="P41" s="214"/>
      <c r="Q41" s="187">
        <f t="shared" si="3"/>
        <v>803</v>
      </c>
      <c r="R41" s="183">
        <f t="shared" si="4"/>
        <v>803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14</v>
      </c>
      <c r="L42" s="251">
        <f>501+30+15+25</f>
        <v>571</v>
      </c>
      <c r="M42" s="252">
        <f>405+608</f>
        <v>1013</v>
      </c>
      <c r="N42" s="256">
        <f t="shared" si="2"/>
        <v>1598</v>
      </c>
      <c r="O42" s="213"/>
      <c r="P42" s="214"/>
      <c r="Q42" s="187">
        <f t="shared" si="3"/>
        <v>1598</v>
      </c>
      <c r="R42" s="183">
        <f t="shared" si="4"/>
        <v>1598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14</v>
      </c>
      <c r="L43" s="251">
        <f>521+30+15+25</f>
        <v>591</v>
      </c>
      <c r="M43" s="252">
        <f>61+540</f>
        <v>601</v>
      </c>
      <c r="N43" s="256">
        <f t="shared" si="2"/>
        <v>1206</v>
      </c>
      <c r="O43" s="213"/>
      <c r="P43" s="214"/>
      <c r="Q43" s="187">
        <f t="shared" si="3"/>
        <v>1206</v>
      </c>
      <c r="R43" s="183">
        <f t="shared" si="4"/>
        <v>1206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14</v>
      </c>
      <c r="L44" s="251">
        <f>588+30+15+25</f>
        <v>658</v>
      </c>
      <c r="M44" s="252">
        <f>608+540+68+401</f>
        <v>1617</v>
      </c>
      <c r="N44" s="256">
        <f t="shared" si="2"/>
        <v>2289</v>
      </c>
      <c r="O44" s="213"/>
      <c r="P44" s="214"/>
      <c r="Q44" s="187">
        <f t="shared" si="3"/>
        <v>2289</v>
      </c>
      <c r="R44" s="183">
        <f t="shared" si="4"/>
        <v>2289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14</v>
      </c>
      <c r="L45" s="251">
        <f>531+30+15+25</f>
        <v>601</v>
      </c>
      <c r="M45" s="252">
        <f>601+1350+540+68</f>
        <v>2559</v>
      </c>
      <c r="N45" s="256">
        <f t="shared" si="2"/>
        <v>3174</v>
      </c>
      <c r="O45" s="213"/>
      <c r="P45" s="214"/>
      <c r="Q45" s="187">
        <f t="shared" si="3"/>
        <v>3174</v>
      </c>
      <c r="R45" s="183">
        <f t="shared" si="4"/>
        <v>3174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333</v>
      </c>
      <c r="L48" s="259">
        <f t="shared" si="5"/>
        <v>17931</v>
      </c>
      <c r="M48" s="260">
        <f t="shared" si="5"/>
        <v>9559</v>
      </c>
      <c r="N48" s="258">
        <f>SUM(N16:N46)</f>
        <v>27823</v>
      </c>
      <c r="O48" s="195">
        <f t="shared" si="5"/>
        <v>0</v>
      </c>
      <c r="P48" s="195">
        <f t="shared" si="5"/>
        <v>0</v>
      </c>
      <c r="Q48" s="194">
        <f>SUM(Q16:Q46)</f>
        <v>27823</v>
      </c>
      <c r="R48" s="185">
        <f>SUM(R16:R46)</f>
        <v>27823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27823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9" zoomScale="72" zoomScaleNormal="72" workbookViewId="0">
      <pane xSplit="1" topLeftCell="B1" activePane="topRight" state="frozen"/>
      <selection activeCell="R13" sqref="R13"/>
      <selection pane="topRight" activeCell="P37" sqref="P37"/>
    </sheetView>
  </sheetViews>
  <sheetFormatPr baseColWidth="10" defaultColWidth="11.44140625" defaultRowHeight="14.4" x14ac:dyDescent="0.3"/>
  <cols>
    <col min="1" max="1" width="5.44140625" style="89" customWidth="1"/>
    <col min="2" max="2" width="6.5546875" style="89" customWidth="1"/>
    <col min="3" max="5" width="11.44140625" style="89"/>
    <col min="6" max="6" width="11.5546875" style="89" customWidth="1"/>
    <col min="7" max="11" width="11.44140625" style="89"/>
    <col min="12" max="12" width="15.5546875" style="89" customWidth="1"/>
    <col min="13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10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209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48</v>
      </c>
      <c r="L16" s="251">
        <f>15+15+150+20+1048</f>
        <v>1248</v>
      </c>
      <c r="M16" s="252"/>
      <c r="N16" s="256">
        <f>+K16+L16+M16</f>
        <v>1296</v>
      </c>
      <c r="O16" s="235"/>
      <c r="P16" s="234"/>
      <c r="Q16" s="187">
        <f>+P16+O16+N16</f>
        <v>1296</v>
      </c>
      <c r="R16" s="183">
        <f>+Q16+J16+F16</f>
        <v>1296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48</v>
      </c>
      <c r="L17" s="251">
        <f>15+15+150+20+1060</f>
        <v>1260</v>
      </c>
      <c r="M17" s="252"/>
      <c r="N17" s="256">
        <f t="shared" ref="N17:N46" si="2">+K17+L17+M17</f>
        <v>1308</v>
      </c>
      <c r="O17" s="213"/>
      <c r="P17" s="214"/>
      <c r="Q17" s="187">
        <f t="shared" ref="Q17:Q46" si="3">+P17+O17+N17</f>
        <v>1308</v>
      </c>
      <c r="R17" s="183">
        <f t="shared" ref="R17:R46" si="4">+Q17+J17+F17</f>
        <v>1308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48</v>
      </c>
      <c r="L19" s="251">
        <v>300</v>
      </c>
      <c r="M19" s="252"/>
      <c r="N19" s="256">
        <f t="shared" si="2"/>
        <v>348</v>
      </c>
      <c r="O19" s="213"/>
      <c r="P19" s="214"/>
      <c r="Q19" s="187">
        <f t="shared" si="3"/>
        <v>348</v>
      </c>
      <c r="R19" s="183">
        <f t="shared" si="4"/>
        <v>348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48</v>
      </c>
      <c r="L20" s="251">
        <f>15+15+150+20+1036</f>
        <v>1236</v>
      </c>
      <c r="M20" s="252"/>
      <c r="N20" s="256">
        <f t="shared" si="2"/>
        <v>1284</v>
      </c>
      <c r="O20" s="213"/>
      <c r="P20" s="214"/>
      <c r="Q20" s="187">
        <f t="shared" si="3"/>
        <v>1284</v>
      </c>
      <c r="R20" s="183">
        <f t="shared" si="4"/>
        <v>1284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48</v>
      </c>
      <c r="L21" s="251">
        <f>15+15+100+25+1045</f>
        <v>1200</v>
      </c>
      <c r="M21" s="252"/>
      <c r="N21" s="256">
        <f t="shared" si="2"/>
        <v>1248</v>
      </c>
      <c r="O21" s="213"/>
      <c r="P21" s="214"/>
      <c r="Q21" s="187">
        <f t="shared" si="3"/>
        <v>1248</v>
      </c>
      <c r="R21" s="183">
        <f t="shared" si="4"/>
        <v>1248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48</v>
      </c>
      <c r="L22" s="251">
        <f>15+15+100+20+1110</f>
        <v>1260</v>
      </c>
      <c r="M22" s="252"/>
      <c r="N22" s="256">
        <f t="shared" si="2"/>
        <v>1308</v>
      </c>
      <c r="O22" s="213"/>
      <c r="P22" s="214"/>
      <c r="Q22" s="187">
        <f t="shared" si="3"/>
        <v>1308</v>
      </c>
      <c r="R22" s="183">
        <f t="shared" si="4"/>
        <v>1308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48</v>
      </c>
      <c r="L23" s="251">
        <f>15+15+150+25+1031</f>
        <v>1236</v>
      </c>
      <c r="M23" s="252"/>
      <c r="N23" s="256">
        <f t="shared" si="2"/>
        <v>1284</v>
      </c>
      <c r="O23" s="213"/>
      <c r="P23" s="214"/>
      <c r="Q23" s="187">
        <f t="shared" si="3"/>
        <v>1284</v>
      </c>
      <c r="R23" s="183">
        <f t="shared" si="4"/>
        <v>1284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48</v>
      </c>
      <c r="L24" s="251">
        <f>15+15+150+30+1026</f>
        <v>1236</v>
      </c>
      <c r="M24" s="252"/>
      <c r="N24" s="256">
        <f t="shared" si="2"/>
        <v>1284</v>
      </c>
      <c r="O24" s="213"/>
      <c r="P24" s="214"/>
      <c r="Q24" s="187">
        <f t="shared" si="3"/>
        <v>1284</v>
      </c>
      <c r="R24" s="183">
        <f t="shared" si="4"/>
        <v>1284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48</v>
      </c>
      <c r="L26" s="251">
        <v>400</v>
      </c>
      <c r="M26" s="252"/>
      <c r="N26" s="256">
        <f t="shared" si="2"/>
        <v>448</v>
      </c>
      <c r="O26" s="213"/>
      <c r="P26" s="214"/>
      <c r="Q26" s="187">
        <f t="shared" si="3"/>
        <v>448</v>
      </c>
      <c r="R26" s="183">
        <f t="shared" si="4"/>
        <v>448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48</v>
      </c>
      <c r="L27" s="251">
        <f>15+15+150+25+1043</f>
        <v>1248</v>
      </c>
      <c r="M27" s="252"/>
      <c r="N27" s="256">
        <f t="shared" si="2"/>
        <v>1296</v>
      </c>
      <c r="O27" s="213"/>
      <c r="P27" s="214"/>
      <c r="Q27" s="187">
        <f t="shared" si="3"/>
        <v>1296</v>
      </c>
      <c r="R27" s="183">
        <f t="shared" si="4"/>
        <v>1296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48</v>
      </c>
      <c r="L28" s="251">
        <f>15+15+130+25+1027</f>
        <v>1212</v>
      </c>
      <c r="M28" s="252"/>
      <c r="N28" s="256">
        <f t="shared" si="2"/>
        <v>1260</v>
      </c>
      <c r="O28" s="213"/>
      <c r="P28" s="214"/>
      <c r="Q28" s="187">
        <f t="shared" si="3"/>
        <v>1260</v>
      </c>
      <c r="R28" s="183">
        <f t="shared" si="4"/>
        <v>1260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48</v>
      </c>
      <c r="L29" s="251">
        <f>15+15+150+40+25+991</f>
        <v>1236</v>
      </c>
      <c r="M29" s="252"/>
      <c r="N29" s="256">
        <f t="shared" si="2"/>
        <v>1284</v>
      </c>
      <c r="O29" s="213"/>
      <c r="P29" s="214"/>
      <c r="Q29" s="187">
        <f t="shared" si="3"/>
        <v>1284</v>
      </c>
      <c r="R29" s="183">
        <f t="shared" si="4"/>
        <v>1284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48</v>
      </c>
      <c r="L30" s="251">
        <f>15+15+150+25+1019</f>
        <v>1224</v>
      </c>
      <c r="M30" s="252"/>
      <c r="N30" s="256">
        <f t="shared" si="2"/>
        <v>1272</v>
      </c>
      <c r="O30" s="213"/>
      <c r="P30" s="214"/>
      <c r="Q30" s="187">
        <f t="shared" si="3"/>
        <v>1272</v>
      </c>
      <c r="R30" s="183">
        <f t="shared" si="4"/>
        <v>1272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48</v>
      </c>
      <c r="L31" s="251">
        <f>15+150+15+25+50+993</f>
        <v>1248</v>
      </c>
      <c r="M31" s="252"/>
      <c r="N31" s="256">
        <f t="shared" si="2"/>
        <v>1296</v>
      </c>
      <c r="O31" s="213"/>
      <c r="P31" s="214"/>
      <c r="Q31" s="187">
        <f t="shared" si="3"/>
        <v>1296</v>
      </c>
      <c r="R31" s="183">
        <f t="shared" si="4"/>
        <v>1296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48</v>
      </c>
      <c r="L32" s="251">
        <v>300</v>
      </c>
      <c r="M32" s="252"/>
      <c r="N32" s="256">
        <f t="shared" si="2"/>
        <v>348</v>
      </c>
      <c r="O32" s="213"/>
      <c r="P32" s="214"/>
      <c r="Q32" s="187">
        <f t="shared" si="3"/>
        <v>348</v>
      </c>
      <c r="R32" s="183">
        <f t="shared" si="4"/>
        <v>348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48</v>
      </c>
      <c r="L33" s="251">
        <v>400</v>
      </c>
      <c r="M33" s="252"/>
      <c r="N33" s="256">
        <f t="shared" si="2"/>
        <v>448</v>
      </c>
      <c r="O33" s="213"/>
      <c r="P33" s="214"/>
      <c r="Q33" s="187">
        <f t="shared" si="3"/>
        <v>448</v>
      </c>
      <c r="R33" s="183">
        <f t="shared" si="4"/>
        <v>448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48</v>
      </c>
      <c r="L34" s="251">
        <f>20+34+130+25+1093</f>
        <v>1302</v>
      </c>
      <c r="M34" s="252"/>
      <c r="N34" s="256">
        <f t="shared" si="2"/>
        <v>1350</v>
      </c>
      <c r="O34" s="213"/>
      <c r="P34" s="214"/>
      <c r="Q34" s="187">
        <f t="shared" si="3"/>
        <v>1350</v>
      </c>
      <c r="R34" s="183">
        <f t="shared" si="4"/>
        <v>1350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48</v>
      </c>
      <c r="L35" s="251">
        <f>15+15+100+25+1057</f>
        <v>1212</v>
      </c>
      <c r="M35" s="252"/>
      <c r="N35" s="256">
        <f t="shared" si="2"/>
        <v>1260</v>
      </c>
      <c r="O35" s="213"/>
      <c r="P35" s="214"/>
      <c r="Q35" s="187">
        <f t="shared" si="3"/>
        <v>1260</v>
      </c>
      <c r="R35" s="183">
        <f t="shared" si="4"/>
        <v>1260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48</v>
      </c>
      <c r="L36" s="251">
        <f>15+15+150+25+1031</f>
        <v>1236</v>
      </c>
      <c r="M36" s="252"/>
      <c r="N36" s="256">
        <f t="shared" si="2"/>
        <v>1284</v>
      </c>
      <c r="O36" s="213"/>
      <c r="P36" s="214"/>
      <c r="Q36" s="187">
        <f t="shared" si="3"/>
        <v>1284</v>
      </c>
      <c r="R36" s="183">
        <f t="shared" si="4"/>
        <v>1284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48</v>
      </c>
      <c r="L37" s="251">
        <f>15+15+150+35+1009</f>
        <v>1224</v>
      </c>
      <c r="M37" s="252"/>
      <c r="N37" s="256">
        <f t="shared" si="2"/>
        <v>1272</v>
      </c>
      <c r="O37" s="213"/>
      <c r="P37" s="214"/>
      <c r="Q37" s="187">
        <f t="shared" si="3"/>
        <v>1272</v>
      </c>
      <c r="R37" s="183">
        <f t="shared" si="4"/>
        <v>1272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48</v>
      </c>
      <c r="L38" s="251">
        <f>15+15+150+20+1048</f>
        <v>1248</v>
      </c>
      <c r="M38" s="252"/>
      <c r="N38" s="256">
        <f t="shared" si="2"/>
        <v>1296</v>
      </c>
      <c r="O38" s="213"/>
      <c r="P38" s="214"/>
      <c r="Q38" s="187">
        <f t="shared" si="3"/>
        <v>1296</v>
      </c>
      <c r="R38" s="183">
        <f t="shared" si="4"/>
        <v>1296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48</v>
      </c>
      <c r="L39" s="251">
        <v>100</v>
      </c>
      <c r="M39" s="252"/>
      <c r="N39" s="256">
        <f t="shared" si="2"/>
        <v>148</v>
      </c>
      <c r="O39" s="213"/>
      <c r="P39" s="214"/>
      <c r="Q39" s="187">
        <f t="shared" si="3"/>
        <v>148</v>
      </c>
      <c r="R39" s="183">
        <f t="shared" si="4"/>
        <v>148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48</v>
      </c>
      <c r="L40" s="251">
        <v>300</v>
      </c>
      <c r="M40" s="252"/>
      <c r="N40" s="256">
        <f t="shared" si="2"/>
        <v>348</v>
      </c>
      <c r="O40" s="213"/>
      <c r="P40" s="214"/>
      <c r="Q40" s="187">
        <f t="shared" si="3"/>
        <v>348</v>
      </c>
      <c r="R40" s="183">
        <f t="shared" si="4"/>
        <v>348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48</v>
      </c>
      <c r="L41" s="251">
        <f>15+15+100+10+1096</f>
        <v>1236</v>
      </c>
      <c r="M41" s="252"/>
      <c r="N41" s="256">
        <f t="shared" si="2"/>
        <v>1284</v>
      </c>
      <c r="O41" s="213"/>
      <c r="P41" s="214"/>
      <c r="Q41" s="187">
        <f t="shared" si="3"/>
        <v>1284</v>
      </c>
      <c r="R41" s="183">
        <f t="shared" si="4"/>
        <v>1284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48</v>
      </c>
      <c r="L42" s="251">
        <f>15+15+120+25+1049</f>
        <v>1224</v>
      </c>
      <c r="M42" s="252"/>
      <c r="N42" s="256">
        <f t="shared" si="2"/>
        <v>1272</v>
      </c>
      <c r="O42" s="213"/>
      <c r="P42" s="214"/>
      <c r="Q42" s="187">
        <f t="shared" si="3"/>
        <v>1272</v>
      </c>
      <c r="R42" s="183">
        <f t="shared" si="4"/>
        <v>1272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48</v>
      </c>
      <c r="L43" s="251">
        <f>15+15+150+25+1031</f>
        <v>1236</v>
      </c>
      <c r="M43" s="252"/>
      <c r="N43" s="256">
        <f t="shared" si="2"/>
        <v>1284</v>
      </c>
      <c r="O43" s="213"/>
      <c r="P43" s="214"/>
      <c r="Q43" s="187">
        <f t="shared" si="3"/>
        <v>1284</v>
      </c>
      <c r="R43" s="183">
        <f t="shared" si="4"/>
        <v>1284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48</v>
      </c>
      <c r="L44" s="251">
        <f>15+15+150+25+1043</f>
        <v>1248</v>
      </c>
      <c r="M44" s="252"/>
      <c r="N44" s="256">
        <f t="shared" si="2"/>
        <v>1296</v>
      </c>
      <c r="O44" s="213"/>
      <c r="P44" s="214"/>
      <c r="Q44" s="187">
        <f t="shared" si="3"/>
        <v>1296</v>
      </c>
      <c r="R44" s="183">
        <f t="shared" si="4"/>
        <v>1296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48</v>
      </c>
      <c r="L45" s="251">
        <f>15+15+150+20+1060</f>
        <v>1260</v>
      </c>
      <c r="M45" s="252"/>
      <c r="N45" s="256">
        <f t="shared" si="2"/>
        <v>1308</v>
      </c>
      <c r="O45" s="213"/>
      <c r="P45" s="214"/>
      <c r="Q45" s="187">
        <f t="shared" si="3"/>
        <v>1308</v>
      </c>
      <c r="R45" s="183">
        <f t="shared" si="4"/>
        <v>1308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1344</v>
      </c>
      <c r="L48" s="259">
        <f t="shared" si="5"/>
        <v>29070</v>
      </c>
      <c r="M48" s="260">
        <f t="shared" si="5"/>
        <v>0</v>
      </c>
      <c r="N48" s="258">
        <f>SUM(N16:N46)</f>
        <v>30414</v>
      </c>
      <c r="O48" s="195">
        <f t="shared" si="5"/>
        <v>0</v>
      </c>
      <c r="P48" s="195">
        <f t="shared" si="5"/>
        <v>0</v>
      </c>
      <c r="Q48" s="194">
        <f>SUM(Q16:Q46)</f>
        <v>30414</v>
      </c>
      <c r="R48" s="185">
        <f>SUM(R16:R46)</f>
        <v>30414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30414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0" zoomScale="70" zoomScaleNormal="70" workbookViewId="0">
      <pane xSplit="1" topLeftCell="B1" activePane="topRight" state="frozen"/>
      <selection activeCell="R13" sqref="R13"/>
      <selection pane="topRight" activeCell="G33" sqref="G33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208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26</v>
      </c>
      <c r="L16" s="251">
        <f>75+75+9+778+30+30+18</f>
        <v>1015</v>
      </c>
      <c r="M16" s="252"/>
      <c r="N16" s="256">
        <f>+K16+L16+M16</f>
        <v>1041</v>
      </c>
      <c r="O16" s="235"/>
      <c r="P16" s="234"/>
      <c r="Q16" s="187">
        <f>+P16+O16+N16</f>
        <v>1041</v>
      </c>
      <c r="R16" s="183">
        <f>+Q16+J16+F16</f>
        <v>1041</v>
      </c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26</v>
      </c>
      <c r="L17" s="251">
        <f>75+75+9+729+25+30+30+18</f>
        <v>991</v>
      </c>
      <c r="M17" s="252"/>
      <c r="N17" s="256">
        <f t="shared" ref="N17:N46" si="2">+K17+L17+M17</f>
        <v>1017</v>
      </c>
      <c r="O17" s="213"/>
      <c r="P17" s="214"/>
      <c r="Q17" s="187">
        <f t="shared" ref="Q17:Q46" si="3">+P17+O17+N17</f>
        <v>1017</v>
      </c>
      <c r="R17" s="183">
        <f t="shared" ref="R17:R46" si="4">+Q17+J17+F17</f>
        <v>1017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27</v>
      </c>
      <c r="L20" s="251">
        <f>75+75+9+726+30+30+25+118</f>
        <v>1088</v>
      </c>
      <c r="M20" s="252"/>
      <c r="N20" s="256">
        <f t="shared" si="2"/>
        <v>1115</v>
      </c>
      <c r="O20" s="213"/>
      <c r="P20" s="214"/>
      <c r="Q20" s="187">
        <f t="shared" si="3"/>
        <v>1115</v>
      </c>
      <c r="R20" s="183">
        <f t="shared" si="4"/>
        <v>1115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26</v>
      </c>
      <c r="L21" s="251">
        <f>75+75+9+730+30+30+18</f>
        <v>967</v>
      </c>
      <c r="M21" s="252"/>
      <c r="N21" s="256">
        <f t="shared" si="2"/>
        <v>993</v>
      </c>
      <c r="O21" s="213"/>
      <c r="P21" s="214"/>
      <c r="Q21" s="187">
        <f t="shared" si="3"/>
        <v>993</v>
      </c>
      <c r="R21" s="183">
        <f t="shared" si="4"/>
        <v>993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27</v>
      </c>
      <c r="L22" s="251">
        <f>75+75+9+784+30+25+50+14</f>
        <v>1062</v>
      </c>
      <c r="M22" s="252"/>
      <c r="N22" s="256">
        <f t="shared" si="2"/>
        <v>1089</v>
      </c>
      <c r="O22" s="213"/>
      <c r="P22" s="214"/>
      <c r="Q22" s="187">
        <f t="shared" si="3"/>
        <v>1089</v>
      </c>
      <c r="R22" s="183">
        <f t="shared" si="4"/>
        <v>1089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27</v>
      </c>
      <c r="L23" s="251">
        <f>75+75+9+890+30+50</f>
        <v>1129</v>
      </c>
      <c r="M23" s="252"/>
      <c r="N23" s="256">
        <f t="shared" si="2"/>
        <v>1156</v>
      </c>
      <c r="O23" s="213"/>
      <c r="P23" s="214"/>
      <c r="Q23" s="187">
        <f t="shared" si="3"/>
        <v>1156</v>
      </c>
      <c r="R23" s="183">
        <f t="shared" si="4"/>
        <v>1156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27</v>
      </c>
      <c r="L24" s="251">
        <f>75+75+9+918+30+30+50</f>
        <v>1187</v>
      </c>
      <c r="M24" s="252"/>
      <c r="N24" s="256">
        <f t="shared" si="2"/>
        <v>1214</v>
      </c>
      <c r="O24" s="213"/>
      <c r="P24" s="214"/>
      <c r="Q24" s="187">
        <f t="shared" si="3"/>
        <v>1214</v>
      </c>
      <c r="R24" s="183">
        <f t="shared" si="4"/>
        <v>1214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27</v>
      </c>
      <c r="L27" s="251">
        <f>75+75+9+882+30+25+50+7</f>
        <v>1153</v>
      </c>
      <c r="M27" s="252"/>
      <c r="N27" s="256">
        <f t="shared" si="2"/>
        <v>1180</v>
      </c>
      <c r="O27" s="213"/>
      <c r="P27" s="214"/>
      <c r="Q27" s="187">
        <f t="shared" si="3"/>
        <v>1180</v>
      </c>
      <c r="R27" s="183">
        <f t="shared" si="4"/>
        <v>1180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27</v>
      </c>
      <c r="L28" s="251">
        <f>75+75+9+1075+30+50+30+12</f>
        <v>1356</v>
      </c>
      <c r="M28" s="252"/>
      <c r="N28" s="256">
        <f t="shared" si="2"/>
        <v>1383</v>
      </c>
      <c r="O28" s="213"/>
      <c r="P28" s="214"/>
      <c r="Q28" s="187">
        <f t="shared" si="3"/>
        <v>1383</v>
      </c>
      <c r="R28" s="183">
        <f t="shared" si="4"/>
        <v>1383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27</v>
      </c>
      <c r="L29" s="251">
        <f>75+75+9+956+30+50+25+30+12</f>
        <v>1262</v>
      </c>
      <c r="M29" s="252"/>
      <c r="N29" s="256">
        <f t="shared" si="2"/>
        <v>1289</v>
      </c>
      <c r="O29" s="213"/>
      <c r="P29" s="214"/>
      <c r="Q29" s="187">
        <f t="shared" si="3"/>
        <v>1289</v>
      </c>
      <c r="R29" s="183">
        <f t="shared" si="4"/>
        <v>1289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27</v>
      </c>
      <c r="L30" s="251">
        <f>75+75+9+899+30+25+12</f>
        <v>1125</v>
      </c>
      <c r="M30" s="252"/>
      <c r="N30" s="256">
        <f t="shared" si="2"/>
        <v>1152</v>
      </c>
      <c r="O30" s="213"/>
      <c r="P30" s="214"/>
      <c r="Q30" s="187">
        <f t="shared" si="3"/>
        <v>1152</v>
      </c>
      <c r="R30" s="183">
        <f t="shared" si="4"/>
        <v>1152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27</v>
      </c>
      <c r="L31" s="251">
        <f>75+75+9+850+30+12</f>
        <v>1051</v>
      </c>
      <c r="M31" s="252"/>
      <c r="N31" s="256">
        <f t="shared" si="2"/>
        <v>1078</v>
      </c>
      <c r="O31" s="213"/>
      <c r="P31" s="214"/>
      <c r="Q31" s="187">
        <f t="shared" si="3"/>
        <v>1078</v>
      </c>
      <c r="R31" s="183">
        <f t="shared" si="4"/>
        <v>1078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15</v>
      </c>
      <c r="L32" s="251">
        <v>200</v>
      </c>
      <c r="M32" s="252"/>
      <c r="N32" s="256">
        <f t="shared" si="2"/>
        <v>215</v>
      </c>
      <c r="O32" s="213"/>
      <c r="P32" s="214"/>
      <c r="Q32" s="187">
        <f t="shared" si="3"/>
        <v>215</v>
      </c>
      <c r="R32" s="183">
        <f t="shared" si="4"/>
        <v>215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15</v>
      </c>
      <c r="L33" s="251">
        <v>100</v>
      </c>
      <c r="M33" s="252"/>
      <c r="N33" s="256">
        <f t="shared" si="2"/>
        <v>115</v>
      </c>
      <c r="O33" s="213"/>
      <c r="P33" s="214"/>
      <c r="Q33" s="187">
        <f t="shared" si="3"/>
        <v>115</v>
      </c>
      <c r="R33" s="183">
        <f t="shared" si="4"/>
        <v>115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27</v>
      </c>
      <c r="L34" s="251">
        <f>75+75+558+103+156</f>
        <v>967</v>
      </c>
      <c r="M34" s="252"/>
      <c r="N34" s="256">
        <f t="shared" si="2"/>
        <v>994</v>
      </c>
      <c r="O34" s="213"/>
      <c r="P34" s="214"/>
      <c r="Q34" s="187">
        <f t="shared" si="3"/>
        <v>994</v>
      </c>
      <c r="R34" s="183">
        <f t="shared" si="4"/>
        <v>994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27</v>
      </c>
      <c r="L35" s="251">
        <f>75+75+9+1414+30+585+325</f>
        <v>2513</v>
      </c>
      <c r="M35" s="252"/>
      <c r="N35" s="256">
        <f t="shared" si="2"/>
        <v>2540</v>
      </c>
      <c r="O35" s="213"/>
      <c r="P35" s="214"/>
      <c r="Q35" s="187">
        <f t="shared" si="3"/>
        <v>2540</v>
      </c>
      <c r="R35" s="183">
        <f t="shared" si="4"/>
        <v>2540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26</v>
      </c>
      <c r="L36" s="251">
        <f>75+75+9+1070+30+25+30</f>
        <v>1314</v>
      </c>
      <c r="M36" s="252"/>
      <c r="N36" s="256">
        <f t="shared" si="2"/>
        <v>1340</v>
      </c>
      <c r="O36" s="213"/>
      <c r="P36" s="214"/>
      <c r="Q36" s="187">
        <f t="shared" si="3"/>
        <v>1340</v>
      </c>
      <c r="R36" s="183">
        <f t="shared" si="4"/>
        <v>1340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26</v>
      </c>
      <c r="L37" s="251">
        <f>75+75+9+727+30+25+30</f>
        <v>971</v>
      </c>
      <c r="M37" s="252"/>
      <c r="N37" s="256">
        <f t="shared" si="2"/>
        <v>997</v>
      </c>
      <c r="O37" s="213"/>
      <c r="P37" s="214"/>
      <c r="Q37" s="187">
        <f t="shared" si="3"/>
        <v>997</v>
      </c>
      <c r="R37" s="183">
        <f t="shared" si="4"/>
        <v>997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26</v>
      </c>
      <c r="L38" s="251">
        <f>75+75+9+870+30+25+30</f>
        <v>1114</v>
      </c>
      <c r="M38" s="252"/>
      <c r="N38" s="256">
        <f t="shared" si="2"/>
        <v>1140</v>
      </c>
      <c r="O38" s="213"/>
      <c r="P38" s="214"/>
      <c r="Q38" s="187">
        <f t="shared" si="3"/>
        <v>1140</v>
      </c>
      <c r="R38" s="183">
        <f t="shared" si="4"/>
        <v>1140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26</v>
      </c>
      <c r="L39" s="251">
        <v>500</v>
      </c>
      <c r="M39" s="252"/>
      <c r="N39" s="256">
        <f t="shared" si="2"/>
        <v>526</v>
      </c>
      <c r="O39" s="213"/>
      <c r="P39" s="214"/>
      <c r="Q39" s="187">
        <f t="shared" si="3"/>
        <v>526</v>
      </c>
      <c r="R39" s="183">
        <f t="shared" si="4"/>
        <v>526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26</v>
      </c>
      <c r="L41" s="251">
        <f>75+75+9+791+30+25+30</f>
        <v>1035</v>
      </c>
      <c r="M41" s="252"/>
      <c r="N41" s="256">
        <f t="shared" si="2"/>
        <v>1061</v>
      </c>
      <c r="O41" s="213"/>
      <c r="P41" s="214"/>
      <c r="Q41" s="187">
        <f t="shared" si="3"/>
        <v>1061</v>
      </c>
      <c r="R41" s="183">
        <f t="shared" si="4"/>
        <v>1061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26</v>
      </c>
      <c r="L42" s="251">
        <f>75+75+9+862+30+25+30</f>
        <v>1106</v>
      </c>
      <c r="M42" s="252"/>
      <c r="N42" s="256">
        <f t="shared" si="2"/>
        <v>1132</v>
      </c>
      <c r="O42" s="213"/>
      <c r="P42" s="214"/>
      <c r="Q42" s="187">
        <f t="shared" si="3"/>
        <v>1132</v>
      </c>
      <c r="R42" s="183">
        <f t="shared" si="4"/>
        <v>1132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26</v>
      </c>
      <c r="L43" s="251">
        <f>75+75+9+945+30+25+30+100</f>
        <v>1289</v>
      </c>
      <c r="M43" s="252"/>
      <c r="N43" s="256">
        <f t="shared" si="2"/>
        <v>1315</v>
      </c>
      <c r="O43" s="213"/>
      <c r="P43" s="214"/>
      <c r="Q43" s="187">
        <f t="shared" si="3"/>
        <v>1315</v>
      </c>
      <c r="R43" s="183">
        <f t="shared" si="4"/>
        <v>1315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26</v>
      </c>
      <c r="L44" s="251">
        <f>75+75+9+796+30+30+20</f>
        <v>1035</v>
      </c>
      <c r="M44" s="252"/>
      <c r="N44" s="256">
        <f t="shared" si="2"/>
        <v>1061</v>
      </c>
      <c r="O44" s="213"/>
      <c r="P44" s="214"/>
      <c r="Q44" s="187">
        <f t="shared" si="3"/>
        <v>1061</v>
      </c>
      <c r="R44" s="183">
        <f t="shared" si="4"/>
        <v>1061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29</v>
      </c>
      <c r="L45" s="251">
        <f>75+75+9+1189+30+25+30</f>
        <v>1433</v>
      </c>
      <c r="M45" s="252"/>
      <c r="N45" s="256">
        <f t="shared" si="2"/>
        <v>1462</v>
      </c>
      <c r="O45" s="213"/>
      <c r="P45" s="214"/>
      <c r="Q45" s="187">
        <f t="shared" si="3"/>
        <v>1462</v>
      </c>
      <c r="R45" s="183">
        <f t="shared" si="4"/>
        <v>1462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642</v>
      </c>
      <c r="L48" s="259">
        <f t="shared" si="5"/>
        <v>26963</v>
      </c>
      <c r="M48" s="260">
        <f t="shared" si="5"/>
        <v>0</v>
      </c>
      <c r="N48" s="258">
        <f>SUM(N16:N46)</f>
        <v>27605</v>
      </c>
      <c r="O48" s="195">
        <f t="shared" si="5"/>
        <v>0</v>
      </c>
      <c r="P48" s="195">
        <f t="shared" si="5"/>
        <v>0</v>
      </c>
      <c r="Q48" s="194">
        <f>SUM(Q16:Q46)</f>
        <v>27605</v>
      </c>
      <c r="R48" s="185">
        <f>SUM(R16:R46)</f>
        <v>27605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27605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showGridLines="0" topLeftCell="A32" zoomScale="62" zoomScaleNormal="62" workbookViewId="0">
      <pane xSplit="1" topLeftCell="B1" activePane="topRight" state="frozen"/>
      <selection activeCell="N54" sqref="N54"/>
      <selection pane="topRight" activeCell="O40" sqref="O40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498" customWidth="1"/>
    <col min="7" max="10" width="12.6640625" style="89" customWidth="1"/>
    <col min="11" max="13" width="11.44140625" style="89"/>
    <col min="14" max="14" width="15.109375" style="89" customWidth="1"/>
    <col min="15" max="16384" width="11.44140625" style="89"/>
  </cols>
  <sheetData>
    <row r="1" spans="1:22" ht="15" customHeight="1" x14ac:dyDescent="0.3"/>
    <row r="2" spans="1:22" ht="15" customHeight="1" x14ac:dyDescent="0.3"/>
    <row r="3" spans="1:22" ht="15" customHeight="1" x14ac:dyDescent="0.3"/>
    <row r="4" spans="1:22" ht="15" customHeight="1" x14ac:dyDescent="0.3"/>
    <row r="5" spans="1:22" ht="15" customHeight="1" x14ac:dyDescent="0.3"/>
    <row r="6" spans="1:22" ht="15" customHeight="1" x14ac:dyDescent="0.3"/>
    <row r="7" spans="1:22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</row>
    <row r="8" spans="1:22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</row>
    <row r="9" spans="1:22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</row>
    <row r="10" spans="1:22" ht="15" customHeight="1" x14ac:dyDescent="0.3"/>
    <row r="11" spans="1:22" ht="15" customHeight="1" x14ac:dyDescent="0.3"/>
    <row r="12" spans="1:22" ht="15" customHeight="1" x14ac:dyDescent="0.35">
      <c r="B12" s="39" t="s">
        <v>48</v>
      </c>
      <c r="C12" s="40"/>
      <c r="D12" s="524" t="s">
        <v>61</v>
      </c>
      <c r="E12" s="524"/>
      <c r="F12" s="524"/>
      <c r="G12" s="524"/>
      <c r="H12" s="524"/>
      <c r="I12" s="524"/>
      <c r="J12" s="524"/>
      <c r="K12" s="524"/>
      <c r="L12" s="524"/>
      <c r="M12" s="524"/>
      <c r="N12" s="34" t="s">
        <v>49</v>
      </c>
      <c r="O12" s="50" t="str">
        <f>+'ADM 1'!T12</f>
        <v>SEPTIEMBRE</v>
      </c>
      <c r="P12" s="50"/>
      <c r="Q12" s="50"/>
      <c r="R12" s="50"/>
      <c r="S12" s="35"/>
      <c r="T12" s="51">
        <f>+'ADM 1'!Y12</f>
        <v>2022</v>
      </c>
    </row>
    <row r="13" spans="1:22" ht="15" customHeight="1" thickBot="1" x14ac:dyDescent="0.35">
      <c r="B13" s="20"/>
      <c r="C13" s="20"/>
      <c r="D13" s="20"/>
      <c r="E13" s="20"/>
      <c r="F13" s="49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</row>
    <row r="14" spans="1:22" ht="19.5" customHeight="1" thickBot="1" x14ac:dyDescent="0.35">
      <c r="B14" s="152"/>
      <c r="D14" s="526" t="s">
        <v>50</v>
      </c>
      <c r="E14" s="527"/>
      <c r="F14" s="528"/>
      <c r="G14" s="167"/>
      <c r="H14" s="408"/>
      <c r="I14" s="408"/>
      <c r="J14" s="168" t="s">
        <v>29</v>
      </c>
      <c r="K14" s="168"/>
      <c r="L14" s="169"/>
      <c r="M14" s="521" t="s">
        <v>30</v>
      </c>
      <c r="N14" s="522"/>
      <c r="O14" s="522"/>
      <c r="P14" s="522"/>
      <c r="Q14" s="522"/>
      <c r="R14" s="522"/>
      <c r="S14" s="523"/>
      <c r="T14" s="158" t="s">
        <v>51</v>
      </c>
    </row>
    <row r="15" spans="1:22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500" t="s">
        <v>183</v>
      </c>
      <c r="G15" s="398" t="s">
        <v>202</v>
      </c>
      <c r="H15" s="398" t="s">
        <v>207</v>
      </c>
      <c r="I15" s="162" t="s">
        <v>239</v>
      </c>
      <c r="J15" s="161" t="s">
        <v>242</v>
      </c>
      <c r="K15" s="162" t="s">
        <v>219</v>
      </c>
      <c r="L15" s="173" t="s">
        <v>184</v>
      </c>
      <c r="M15" s="247" t="s">
        <v>186</v>
      </c>
      <c r="N15" s="248" t="s">
        <v>187</v>
      </c>
      <c r="O15" s="249" t="s">
        <v>188</v>
      </c>
      <c r="P15" s="155" t="s">
        <v>182</v>
      </c>
      <c r="Q15" s="191" t="s">
        <v>81</v>
      </c>
      <c r="R15" s="189" t="s">
        <v>83</v>
      </c>
      <c r="S15" s="156" t="s">
        <v>185</v>
      </c>
      <c r="T15" s="159" t="s">
        <v>58</v>
      </c>
    </row>
    <row r="16" spans="1:22" ht="15" customHeight="1" thickBot="1" x14ac:dyDescent="0.35">
      <c r="B16" s="36">
        <v>1</v>
      </c>
      <c r="C16" s="350"/>
      <c r="D16" s="351"/>
      <c r="E16" s="352"/>
      <c r="F16" s="501">
        <f>+D16+E16</f>
        <v>0</v>
      </c>
      <c r="G16" s="506"/>
      <c r="H16" s="506"/>
      <c r="I16" s="506"/>
      <c r="J16" s="484">
        <v>50</v>
      </c>
      <c r="K16" s="490"/>
      <c r="L16" s="483">
        <f>SUM(G16:K16)</f>
        <v>50</v>
      </c>
      <c r="M16" s="482">
        <v>500</v>
      </c>
      <c r="N16" s="491">
        <f>400+300+230+250+200+130+50+35+35+25+20+115+100+100+100+100+100+100+75+50+15+8+5+5+10+100+5+10+60</f>
        <v>2733</v>
      </c>
      <c r="O16" s="492"/>
      <c r="P16" s="493">
        <f>+M16+N16+O16</f>
        <v>3233</v>
      </c>
      <c r="Q16" s="494"/>
      <c r="R16" s="495"/>
      <c r="S16" s="496">
        <f t="shared" ref="S16:S45" si="0">+R16+Q16+P16</f>
        <v>3233</v>
      </c>
      <c r="T16" s="497">
        <f>+S16+L16+F16</f>
        <v>3283</v>
      </c>
      <c r="U16" s="215"/>
      <c r="V16" s="215"/>
    </row>
    <row r="17" spans="2:22" ht="15" customHeight="1" thickBot="1" x14ac:dyDescent="0.35">
      <c r="B17" s="26">
        <v>2</v>
      </c>
      <c r="C17" s="338"/>
      <c r="D17" s="339"/>
      <c r="E17" s="340"/>
      <c r="F17" s="501">
        <f t="shared" ref="F17:F45" si="1">+D17+E17</f>
        <v>0</v>
      </c>
      <c r="G17" s="506"/>
      <c r="H17" s="506"/>
      <c r="I17" s="506"/>
      <c r="J17" s="484">
        <v>50</v>
      </c>
      <c r="K17" s="490"/>
      <c r="L17" s="483">
        <f t="shared" ref="L17:L45" si="2">SUM(G17:K17)</f>
        <v>50</v>
      </c>
      <c r="M17" s="482">
        <v>500</v>
      </c>
      <c r="N17" s="491">
        <f>400+130+250+200+ 130+115+100+100+100+100+100+35+35+25+20+15+8+5+10+5+5+10+50+20+75+50+60</f>
        <v>2153</v>
      </c>
      <c r="O17" s="492"/>
      <c r="P17" s="493">
        <f t="shared" ref="P17:P45" si="3">+M17+N17+O17</f>
        <v>2653</v>
      </c>
      <c r="Q17" s="494"/>
      <c r="R17" s="495"/>
      <c r="S17" s="496">
        <f t="shared" si="0"/>
        <v>2653</v>
      </c>
      <c r="T17" s="497">
        <f t="shared" ref="T17:T45" si="4">+S17+L17+F17</f>
        <v>2703</v>
      </c>
      <c r="U17" s="215"/>
      <c r="V17" s="215"/>
    </row>
    <row r="18" spans="2:22" ht="15" customHeight="1" thickBot="1" x14ac:dyDescent="0.35">
      <c r="B18" s="26">
        <v>3</v>
      </c>
      <c r="C18" s="338"/>
      <c r="D18" s="339"/>
      <c r="E18" s="340"/>
      <c r="F18" s="501">
        <f t="shared" si="1"/>
        <v>0</v>
      </c>
      <c r="G18" s="506"/>
      <c r="H18" s="506"/>
      <c r="I18" s="506"/>
      <c r="J18" s="484"/>
      <c r="K18" s="490"/>
      <c r="L18" s="483">
        <f t="shared" si="2"/>
        <v>0</v>
      </c>
      <c r="M18" s="482">
        <v>15</v>
      </c>
      <c r="N18" s="491">
        <v>960</v>
      </c>
      <c r="O18" s="492"/>
      <c r="P18" s="493">
        <f t="shared" si="3"/>
        <v>975</v>
      </c>
      <c r="Q18" s="494"/>
      <c r="R18" s="495"/>
      <c r="S18" s="496">
        <f t="shared" si="0"/>
        <v>975</v>
      </c>
      <c r="T18" s="497">
        <f t="shared" si="4"/>
        <v>975</v>
      </c>
      <c r="U18" s="215"/>
      <c r="V18" s="215"/>
    </row>
    <row r="19" spans="2:22" ht="15" customHeight="1" thickBot="1" x14ac:dyDescent="0.35">
      <c r="B19" s="26">
        <v>4</v>
      </c>
      <c r="C19" s="338"/>
      <c r="D19" s="339"/>
      <c r="E19" s="340"/>
      <c r="F19" s="501">
        <f t="shared" si="1"/>
        <v>0</v>
      </c>
      <c r="G19" s="506"/>
      <c r="H19" s="506"/>
      <c r="I19" s="506"/>
      <c r="J19" s="484"/>
      <c r="K19" s="490"/>
      <c r="L19" s="483">
        <f t="shared" si="2"/>
        <v>0</v>
      </c>
      <c r="M19" s="482">
        <v>15</v>
      </c>
      <c r="N19" s="491">
        <v>1020</v>
      </c>
      <c r="O19" s="492"/>
      <c r="P19" s="493">
        <f t="shared" si="3"/>
        <v>1035</v>
      </c>
      <c r="Q19" s="494"/>
      <c r="R19" s="495"/>
      <c r="S19" s="496">
        <f t="shared" si="0"/>
        <v>1035</v>
      </c>
      <c r="T19" s="497">
        <f t="shared" si="4"/>
        <v>1035</v>
      </c>
      <c r="U19" s="215"/>
      <c r="V19" s="215"/>
    </row>
    <row r="20" spans="2:22" ht="15" customHeight="1" thickBot="1" x14ac:dyDescent="0.35">
      <c r="B20" s="36">
        <v>5</v>
      </c>
      <c r="C20" s="338"/>
      <c r="D20" s="339"/>
      <c r="E20" s="340"/>
      <c r="F20" s="501">
        <f t="shared" si="1"/>
        <v>0</v>
      </c>
      <c r="G20" s="506"/>
      <c r="H20" s="506"/>
      <c r="I20" s="506"/>
      <c r="J20" s="484">
        <v>50</v>
      </c>
      <c r="K20" s="490"/>
      <c r="L20" s="483">
        <f t="shared" si="2"/>
        <v>50</v>
      </c>
      <c r="M20" s="482">
        <v>500</v>
      </c>
      <c r="N20" s="491">
        <f>400+300+230+250+200+130+115+100+100+100+100+100+100+35+35+25+20+15+8+5+10+5+5+10+80+100+40+50+60+20+50+75</f>
        <v>2873</v>
      </c>
      <c r="O20" s="492"/>
      <c r="P20" s="493">
        <f t="shared" si="3"/>
        <v>3373</v>
      </c>
      <c r="Q20" s="494"/>
      <c r="R20" s="495"/>
      <c r="S20" s="496">
        <f t="shared" si="0"/>
        <v>3373</v>
      </c>
      <c r="T20" s="497">
        <f t="shared" si="4"/>
        <v>3423</v>
      </c>
      <c r="U20" s="215"/>
      <c r="V20" s="215"/>
    </row>
    <row r="21" spans="2:22" ht="15" customHeight="1" thickBot="1" x14ac:dyDescent="0.35">
      <c r="B21" s="26">
        <v>6</v>
      </c>
      <c r="C21" s="349"/>
      <c r="D21" s="339"/>
      <c r="E21" s="340"/>
      <c r="F21" s="501">
        <f t="shared" si="1"/>
        <v>0</v>
      </c>
      <c r="G21" s="506"/>
      <c r="H21" s="506"/>
      <c r="I21" s="506"/>
      <c r="J21" s="484">
        <v>50</v>
      </c>
      <c r="K21" s="490"/>
      <c r="L21" s="483">
        <f t="shared" si="2"/>
        <v>50</v>
      </c>
      <c r="M21" s="482">
        <v>500</v>
      </c>
      <c r="N21" s="491">
        <f>400+300+340+250+200+130+115+100+100+100+100+100+100+75+60+50+50+35+35+25+20+15+10+10+8+5+5+5+20+40+50</f>
        <v>2853</v>
      </c>
      <c r="O21" s="492"/>
      <c r="P21" s="493">
        <f t="shared" si="3"/>
        <v>3353</v>
      </c>
      <c r="Q21" s="494"/>
      <c r="R21" s="495"/>
      <c r="S21" s="496">
        <f t="shared" si="0"/>
        <v>3353</v>
      </c>
      <c r="T21" s="497">
        <f t="shared" si="4"/>
        <v>3403</v>
      </c>
      <c r="U21" s="215"/>
      <c r="V21" s="215"/>
    </row>
    <row r="22" spans="2:22" ht="15" customHeight="1" thickBot="1" x14ac:dyDescent="0.35">
      <c r="B22" s="26">
        <v>7</v>
      </c>
      <c r="C22" s="338"/>
      <c r="D22" s="339"/>
      <c r="E22" s="340"/>
      <c r="F22" s="501">
        <f t="shared" si="1"/>
        <v>0</v>
      </c>
      <c r="G22" s="506"/>
      <c r="H22" s="506"/>
      <c r="I22" s="506"/>
      <c r="J22" s="484">
        <v>50</v>
      </c>
      <c r="K22" s="490"/>
      <c r="L22" s="483">
        <f t="shared" si="2"/>
        <v>50</v>
      </c>
      <c r="M22" s="482">
        <v>500</v>
      </c>
      <c r="N22" s="491">
        <f>40+400+300+340+250+200+130+115+100+100+100+100+100+75+50+50+35+35+25+20+15+10+10+8+5+5+5+20+50+200+30+130+60+100</f>
        <v>3213</v>
      </c>
      <c r="O22" s="492"/>
      <c r="P22" s="493">
        <f t="shared" si="3"/>
        <v>3713</v>
      </c>
      <c r="Q22" s="494"/>
      <c r="R22" s="495"/>
      <c r="S22" s="496">
        <f t="shared" si="0"/>
        <v>3713</v>
      </c>
      <c r="T22" s="497">
        <f t="shared" si="4"/>
        <v>3763</v>
      </c>
      <c r="U22" s="215"/>
      <c r="V22" s="215"/>
    </row>
    <row r="23" spans="2:22" ht="15" customHeight="1" thickBot="1" x14ac:dyDescent="0.35">
      <c r="B23" s="26">
        <v>8</v>
      </c>
      <c r="C23" s="338"/>
      <c r="D23" s="339"/>
      <c r="E23" s="340"/>
      <c r="F23" s="501">
        <f t="shared" si="1"/>
        <v>0</v>
      </c>
      <c r="G23" s="506"/>
      <c r="H23" s="506"/>
      <c r="I23" s="506"/>
      <c r="J23" s="484">
        <v>50</v>
      </c>
      <c r="K23" s="490"/>
      <c r="L23" s="483">
        <f t="shared" si="2"/>
        <v>50</v>
      </c>
      <c r="M23" s="482">
        <v>500</v>
      </c>
      <c r="N23" s="491">
        <f>300+115+10+30+50+20+5+5+5+8+10+15+20+25+35+35+50+50+60+75+100+100+100+100+100+100+130+200+250+340+300+400+40</f>
        <v>3183</v>
      </c>
      <c r="O23" s="492"/>
      <c r="P23" s="493">
        <f t="shared" si="3"/>
        <v>3683</v>
      </c>
      <c r="Q23" s="494"/>
      <c r="R23" s="495"/>
      <c r="S23" s="496">
        <f t="shared" si="0"/>
        <v>3683</v>
      </c>
      <c r="T23" s="497">
        <f t="shared" si="4"/>
        <v>3733</v>
      </c>
      <c r="U23" s="215"/>
      <c r="V23" s="215"/>
    </row>
    <row r="24" spans="2:22" ht="15" customHeight="1" thickBot="1" x14ac:dyDescent="0.35">
      <c r="B24" s="36">
        <v>9</v>
      </c>
      <c r="C24" s="338"/>
      <c r="D24" s="339"/>
      <c r="E24" s="340"/>
      <c r="F24" s="501">
        <f t="shared" si="1"/>
        <v>0</v>
      </c>
      <c r="G24" s="506"/>
      <c r="H24" s="506"/>
      <c r="I24" s="506"/>
      <c r="J24" s="484">
        <v>50</v>
      </c>
      <c r="K24" s="490"/>
      <c r="L24" s="483">
        <f t="shared" si="2"/>
        <v>50</v>
      </c>
      <c r="M24" s="482">
        <v>500</v>
      </c>
      <c r="N24" s="491">
        <f>70+350+200+40+50+20+5+5+5+10+10+15+20+25+35+35+50+50+60+75+100+100+100+100+100+115+130+200+250+340+300+400</f>
        <v>3365</v>
      </c>
      <c r="O24" s="492"/>
      <c r="P24" s="493">
        <f t="shared" si="3"/>
        <v>3865</v>
      </c>
      <c r="Q24" s="494"/>
      <c r="R24" s="495"/>
      <c r="S24" s="496">
        <f t="shared" si="0"/>
        <v>3865</v>
      </c>
      <c r="T24" s="497">
        <f t="shared" si="4"/>
        <v>3915</v>
      </c>
      <c r="U24" s="215"/>
      <c r="V24" s="215"/>
    </row>
    <row r="25" spans="2:22" ht="15" customHeight="1" thickBot="1" x14ac:dyDescent="0.35">
      <c r="B25" s="26">
        <v>10</v>
      </c>
      <c r="C25" s="338"/>
      <c r="D25" s="339"/>
      <c r="E25" s="340"/>
      <c r="F25" s="501">
        <f t="shared" si="1"/>
        <v>0</v>
      </c>
      <c r="G25" s="506"/>
      <c r="H25" s="506"/>
      <c r="I25" s="506"/>
      <c r="J25" s="484"/>
      <c r="K25" s="490"/>
      <c r="L25" s="483">
        <f t="shared" si="2"/>
        <v>0</v>
      </c>
      <c r="M25" s="482"/>
      <c r="N25" s="491"/>
      <c r="O25" s="492"/>
      <c r="P25" s="493">
        <f t="shared" si="3"/>
        <v>0</v>
      </c>
      <c r="Q25" s="494"/>
      <c r="R25" s="495"/>
      <c r="S25" s="496">
        <f t="shared" si="0"/>
        <v>0</v>
      </c>
      <c r="T25" s="497">
        <f t="shared" si="4"/>
        <v>0</v>
      </c>
      <c r="U25" s="215"/>
      <c r="V25" s="215"/>
    </row>
    <row r="26" spans="2:22" ht="15" customHeight="1" thickBot="1" x14ac:dyDescent="0.35">
      <c r="B26" s="26">
        <v>11</v>
      </c>
      <c r="C26" s="338"/>
      <c r="D26" s="339"/>
      <c r="E26" s="340"/>
      <c r="F26" s="501">
        <f t="shared" si="1"/>
        <v>0</v>
      </c>
      <c r="G26" s="506"/>
      <c r="H26" s="506"/>
      <c r="I26" s="506"/>
      <c r="J26" s="484"/>
      <c r="K26" s="490"/>
      <c r="L26" s="483">
        <f t="shared" si="2"/>
        <v>0</v>
      </c>
      <c r="M26" s="482"/>
      <c r="N26" s="491"/>
      <c r="O26" s="492"/>
      <c r="P26" s="493">
        <f t="shared" si="3"/>
        <v>0</v>
      </c>
      <c r="Q26" s="494"/>
      <c r="R26" s="495"/>
      <c r="S26" s="496">
        <f t="shared" si="0"/>
        <v>0</v>
      </c>
      <c r="T26" s="497">
        <f t="shared" si="4"/>
        <v>0</v>
      </c>
      <c r="U26" s="215"/>
      <c r="V26" s="215"/>
    </row>
    <row r="27" spans="2:22" ht="15" customHeight="1" thickBot="1" x14ac:dyDescent="0.35">
      <c r="B27" s="26">
        <v>12</v>
      </c>
      <c r="C27" s="338"/>
      <c r="D27" s="339"/>
      <c r="E27" s="340"/>
      <c r="F27" s="501">
        <f t="shared" si="1"/>
        <v>0</v>
      </c>
      <c r="G27" s="506"/>
      <c r="H27" s="506"/>
      <c r="I27" s="506"/>
      <c r="J27" s="484">
        <v>50</v>
      </c>
      <c r="K27" s="490"/>
      <c r="L27" s="483">
        <f t="shared" si="2"/>
        <v>50</v>
      </c>
      <c r="M27" s="482">
        <v>500</v>
      </c>
      <c r="N27" s="491">
        <f>400+300+340+250+200+130+100+100+100+100+100+75+50+50+50+35+35+25+20+20+15+10+5+5+40+100+5+10+60+115</f>
        <v>2845</v>
      </c>
      <c r="O27" s="492"/>
      <c r="P27" s="493">
        <f t="shared" si="3"/>
        <v>3345</v>
      </c>
      <c r="Q27" s="494"/>
      <c r="R27" s="495"/>
      <c r="S27" s="496">
        <f t="shared" si="0"/>
        <v>3345</v>
      </c>
      <c r="T27" s="497">
        <f t="shared" si="4"/>
        <v>3395</v>
      </c>
      <c r="U27" s="215"/>
      <c r="V27" s="215"/>
    </row>
    <row r="28" spans="2:22" ht="15" customHeight="1" thickBot="1" x14ac:dyDescent="0.35">
      <c r="B28" s="36">
        <v>13</v>
      </c>
      <c r="C28" s="338"/>
      <c r="D28" s="339"/>
      <c r="E28" s="340"/>
      <c r="F28" s="501">
        <f t="shared" si="1"/>
        <v>0</v>
      </c>
      <c r="G28" s="506"/>
      <c r="H28" s="506"/>
      <c r="I28" s="506"/>
      <c r="J28" s="484"/>
      <c r="K28" s="490"/>
      <c r="L28" s="483">
        <f t="shared" si="2"/>
        <v>0</v>
      </c>
      <c r="M28" s="482">
        <v>500</v>
      </c>
      <c r="N28" s="491">
        <f>400+300+340+250+200+130+100+100+100+100+100+75+50+50+50+35+35+25+20+15+10+8+5+5+55+50+200+40+5+60+10+115+50</f>
        <v>3088</v>
      </c>
      <c r="O28" s="492"/>
      <c r="P28" s="493">
        <f t="shared" si="3"/>
        <v>3588</v>
      </c>
      <c r="Q28" s="494"/>
      <c r="R28" s="495"/>
      <c r="S28" s="496">
        <f t="shared" si="0"/>
        <v>3588</v>
      </c>
      <c r="T28" s="497">
        <f t="shared" si="4"/>
        <v>3588</v>
      </c>
      <c r="U28" s="215"/>
      <c r="V28" s="215"/>
    </row>
    <row r="29" spans="2:22" ht="15" customHeight="1" thickBot="1" x14ac:dyDescent="0.35">
      <c r="B29" s="26">
        <v>14</v>
      </c>
      <c r="C29" s="338"/>
      <c r="D29" s="339"/>
      <c r="E29" s="340"/>
      <c r="F29" s="501">
        <f t="shared" si="1"/>
        <v>0</v>
      </c>
      <c r="G29" s="506"/>
      <c r="H29" s="506"/>
      <c r="I29" s="506"/>
      <c r="J29" s="484" t="s">
        <v>38</v>
      </c>
      <c r="K29" s="490"/>
      <c r="L29" s="483">
        <f t="shared" si="2"/>
        <v>0</v>
      </c>
      <c r="M29" s="482">
        <v>500</v>
      </c>
      <c r="N29" s="491">
        <f>5+400+5+8+10+15+20+25+130+100+100+330+300+40+100+130+200+250+50+50+35+5+100+50+75+100+100+35+10+115+60+150</f>
        <v>3103</v>
      </c>
      <c r="O29" s="492"/>
      <c r="P29" s="493">
        <f t="shared" si="3"/>
        <v>3603</v>
      </c>
      <c r="Q29" s="494"/>
      <c r="R29" s="495"/>
      <c r="S29" s="496">
        <f t="shared" si="0"/>
        <v>3603</v>
      </c>
      <c r="T29" s="497">
        <f t="shared" si="4"/>
        <v>3603</v>
      </c>
      <c r="U29" s="215"/>
      <c r="V29" s="215"/>
    </row>
    <row r="30" spans="2:22" ht="15" customHeight="1" thickBot="1" x14ac:dyDescent="0.35">
      <c r="B30" s="26">
        <v>15</v>
      </c>
      <c r="C30" s="338"/>
      <c r="D30" s="339"/>
      <c r="E30" s="340"/>
      <c r="F30" s="501">
        <f t="shared" si="1"/>
        <v>0</v>
      </c>
      <c r="G30" s="506"/>
      <c r="H30" s="506"/>
      <c r="I30" s="506"/>
      <c r="J30" s="484"/>
      <c r="K30" s="490"/>
      <c r="L30" s="483">
        <f t="shared" si="2"/>
        <v>0</v>
      </c>
      <c r="M30" s="482">
        <v>500</v>
      </c>
      <c r="N30" s="491">
        <f>6+200+150+50+250+150+40+400+300+350+250+200+130+115+100+100+100+100+100+100+75+50+60+50+50+35+35+25+20+15+10+10+8+5+5+5</f>
        <v>3649</v>
      </c>
      <c r="O30" s="492"/>
      <c r="P30" s="493">
        <f t="shared" si="3"/>
        <v>4149</v>
      </c>
      <c r="Q30" s="494"/>
      <c r="R30" s="495"/>
      <c r="S30" s="496">
        <f t="shared" si="0"/>
        <v>4149</v>
      </c>
      <c r="T30" s="497">
        <f t="shared" si="4"/>
        <v>4149</v>
      </c>
      <c r="U30" s="215"/>
      <c r="V30" s="215"/>
    </row>
    <row r="31" spans="2:22" ht="15" customHeight="1" thickBot="1" x14ac:dyDescent="0.35">
      <c r="B31" s="26">
        <v>16</v>
      </c>
      <c r="C31" s="338"/>
      <c r="D31" s="339"/>
      <c r="E31" s="340"/>
      <c r="F31" s="501">
        <f t="shared" si="1"/>
        <v>0</v>
      </c>
      <c r="G31" s="506"/>
      <c r="H31" s="506"/>
      <c r="I31" s="506"/>
      <c r="J31" s="484"/>
      <c r="K31" s="490"/>
      <c r="L31" s="483">
        <f t="shared" si="2"/>
        <v>0</v>
      </c>
      <c r="M31" s="482">
        <v>500</v>
      </c>
      <c r="N31" s="491">
        <f>250+100+50+50+35+35+25+20+15+10+10+8+5+5+5+220+25+150+6+200+40+400+300+350+250+200+130+100+100+100+100+100+75+50+100+50+60+115</f>
        <v>3844</v>
      </c>
      <c r="O31" s="492"/>
      <c r="P31" s="493">
        <f t="shared" si="3"/>
        <v>4344</v>
      </c>
      <c r="Q31" s="494"/>
      <c r="R31" s="495"/>
      <c r="S31" s="496">
        <f t="shared" si="0"/>
        <v>4344</v>
      </c>
      <c r="T31" s="497">
        <f t="shared" si="4"/>
        <v>4344</v>
      </c>
      <c r="U31" s="215"/>
      <c r="V31" s="215"/>
    </row>
    <row r="32" spans="2:22" ht="15" customHeight="1" thickBot="1" x14ac:dyDescent="0.35">
      <c r="B32" s="36">
        <v>17</v>
      </c>
      <c r="C32" s="338"/>
      <c r="D32" s="339"/>
      <c r="E32" s="340"/>
      <c r="F32" s="501">
        <f t="shared" si="1"/>
        <v>0</v>
      </c>
      <c r="G32" s="506"/>
      <c r="H32" s="506"/>
      <c r="I32" s="506"/>
      <c r="J32" s="484"/>
      <c r="K32" s="490"/>
      <c r="L32" s="483">
        <f t="shared" si="2"/>
        <v>0</v>
      </c>
      <c r="M32" s="482"/>
      <c r="N32" s="491"/>
      <c r="O32" s="492"/>
      <c r="P32" s="493">
        <f t="shared" si="3"/>
        <v>0</v>
      </c>
      <c r="Q32" s="494"/>
      <c r="R32" s="495"/>
      <c r="S32" s="496">
        <f t="shared" si="0"/>
        <v>0</v>
      </c>
      <c r="T32" s="497">
        <f t="shared" si="4"/>
        <v>0</v>
      </c>
      <c r="U32" s="215"/>
      <c r="V32" s="215"/>
    </row>
    <row r="33" spans="2:22" ht="15" customHeight="1" thickBot="1" x14ac:dyDescent="0.35">
      <c r="B33" s="26">
        <v>18</v>
      </c>
      <c r="C33" s="338"/>
      <c r="D33" s="339"/>
      <c r="E33" s="340"/>
      <c r="F33" s="501">
        <f t="shared" si="1"/>
        <v>0</v>
      </c>
      <c r="G33" s="506"/>
      <c r="H33" s="506"/>
      <c r="I33" s="506"/>
      <c r="J33" s="484"/>
      <c r="K33" s="490"/>
      <c r="L33" s="483">
        <f t="shared" si="2"/>
        <v>0</v>
      </c>
      <c r="M33" s="482"/>
      <c r="N33" s="491"/>
      <c r="O33" s="492"/>
      <c r="P33" s="493">
        <f t="shared" si="3"/>
        <v>0</v>
      </c>
      <c r="Q33" s="494"/>
      <c r="R33" s="495"/>
      <c r="S33" s="496">
        <f t="shared" si="0"/>
        <v>0</v>
      </c>
      <c r="T33" s="497">
        <f t="shared" si="4"/>
        <v>0</v>
      </c>
      <c r="U33" s="215"/>
      <c r="V33" s="215"/>
    </row>
    <row r="34" spans="2:22" ht="15" customHeight="1" thickBot="1" x14ac:dyDescent="0.35">
      <c r="B34" s="26">
        <v>19</v>
      </c>
      <c r="C34" s="349"/>
      <c r="D34" s="339"/>
      <c r="E34" s="340"/>
      <c r="F34" s="501">
        <f t="shared" si="1"/>
        <v>0</v>
      </c>
      <c r="G34" s="506"/>
      <c r="H34" s="506"/>
      <c r="I34" s="506"/>
      <c r="J34" s="484"/>
      <c r="K34" s="490"/>
      <c r="L34" s="483">
        <f t="shared" si="2"/>
        <v>0</v>
      </c>
      <c r="M34" s="482">
        <v>450</v>
      </c>
      <c r="N34" s="491">
        <f>100+150+400+75+100+50+5+15+100+250+50+100+5+100+10+130+60+100+115+150+234+208+156+130+130+260+65</f>
        <v>3248</v>
      </c>
      <c r="O34" s="492"/>
      <c r="P34" s="493">
        <f t="shared" si="3"/>
        <v>3698</v>
      </c>
      <c r="Q34" s="494"/>
      <c r="R34" s="495"/>
      <c r="S34" s="496">
        <f t="shared" si="0"/>
        <v>3698</v>
      </c>
      <c r="T34" s="497">
        <f t="shared" si="4"/>
        <v>3698</v>
      </c>
      <c r="U34" s="215"/>
      <c r="V34" s="215"/>
    </row>
    <row r="35" spans="2:22" ht="15" customHeight="1" thickBot="1" x14ac:dyDescent="0.35">
      <c r="B35" s="26">
        <v>20</v>
      </c>
      <c r="C35" s="338"/>
      <c r="D35" s="339"/>
      <c r="E35" s="340"/>
      <c r="F35" s="501">
        <f t="shared" si="1"/>
        <v>0</v>
      </c>
      <c r="G35" s="506"/>
      <c r="H35" s="506"/>
      <c r="I35" s="506"/>
      <c r="J35" s="484"/>
      <c r="K35" s="490"/>
      <c r="L35" s="483">
        <f t="shared" si="2"/>
        <v>0</v>
      </c>
      <c r="M35" s="482">
        <v>500</v>
      </c>
      <c r="N35" s="491">
        <f>20+10+250+5+100+35+15+35+100+130+400+75+115+100+50+5+100+100+5+10+60+100+200+50+50+300+50+195+195+260+195+390+650+390+8+10</f>
        <v>4763</v>
      </c>
      <c r="O35" s="492"/>
      <c r="P35" s="493">
        <f t="shared" si="3"/>
        <v>5263</v>
      </c>
      <c r="Q35" s="494"/>
      <c r="R35" s="495"/>
      <c r="S35" s="496">
        <f t="shared" si="0"/>
        <v>5263</v>
      </c>
      <c r="T35" s="497">
        <f t="shared" si="4"/>
        <v>5263</v>
      </c>
      <c r="U35" s="215"/>
      <c r="V35" s="215"/>
    </row>
    <row r="36" spans="2:22" ht="15" customHeight="1" thickBot="1" x14ac:dyDescent="0.35">
      <c r="B36" s="36">
        <v>21</v>
      </c>
      <c r="C36" s="338"/>
      <c r="D36" s="339"/>
      <c r="E36" s="340"/>
      <c r="F36" s="501">
        <f t="shared" si="1"/>
        <v>0</v>
      </c>
      <c r="G36" s="506"/>
      <c r="H36" s="506"/>
      <c r="I36" s="506"/>
      <c r="J36" s="484"/>
      <c r="K36" s="490"/>
      <c r="L36" s="483">
        <f t="shared" si="2"/>
        <v>0</v>
      </c>
      <c r="M36" s="482">
        <v>500</v>
      </c>
      <c r="N36" s="491">
        <f>260+400+300+250+200+130+115+100+100+100+100+100+100+75+60+50+520+50+35+35+25+20+15+10+10+8+5+5+50+50+130+5+350+50+260+260</f>
        <v>4333</v>
      </c>
      <c r="O36" s="492"/>
      <c r="P36" s="493">
        <f t="shared" si="3"/>
        <v>4833</v>
      </c>
      <c r="Q36" s="494"/>
      <c r="R36" s="495"/>
      <c r="S36" s="496">
        <f t="shared" si="0"/>
        <v>4833</v>
      </c>
      <c r="T36" s="497">
        <f t="shared" si="4"/>
        <v>4833</v>
      </c>
      <c r="U36" s="215"/>
      <c r="V36" s="215"/>
    </row>
    <row r="37" spans="2:22" ht="15" customHeight="1" thickBot="1" x14ac:dyDescent="0.35">
      <c r="B37" s="26">
        <v>22</v>
      </c>
      <c r="C37" s="338"/>
      <c r="D37" s="339"/>
      <c r="E37" s="340"/>
      <c r="F37" s="501">
        <f t="shared" si="1"/>
        <v>0</v>
      </c>
      <c r="G37" s="506"/>
      <c r="H37" s="506"/>
      <c r="I37" s="506"/>
      <c r="J37" s="484"/>
      <c r="K37" s="490"/>
      <c r="L37" s="483">
        <f t="shared" si="2"/>
        <v>0</v>
      </c>
      <c r="M37" s="482">
        <v>500</v>
      </c>
      <c r="N37" s="491">
        <f>400+250+350+200+130+115+100+100+100+100+100+100+75+60+50+50+35+35+25+20+15+10+10+8+5+5+5+50+15+50+50+260</f>
        <v>2878</v>
      </c>
      <c r="O37" s="492"/>
      <c r="P37" s="493">
        <f t="shared" si="3"/>
        <v>3378</v>
      </c>
      <c r="Q37" s="494"/>
      <c r="R37" s="495"/>
      <c r="S37" s="496">
        <f t="shared" si="0"/>
        <v>3378</v>
      </c>
      <c r="T37" s="497">
        <f t="shared" si="4"/>
        <v>3378</v>
      </c>
      <c r="U37" s="215"/>
      <c r="V37" s="215"/>
    </row>
    <row r="38" spans="2:22" ht="15" customHeight="1" thickBot="1" x14ac:dyDescent="0.35">
      <c r="B38" s="26">
        <v>23</v>
      </c>
      <c r="C38" s="338"/>
      <c r="D38" s="339"/>
      <c r="E38" s="340"/>
      <c r="F38" s="501">
        <f t="shared" si="1"/>
        <v>0</v>
      </c>
      <c r="G38" s="506"/>
      <c r="H38" s="506"/>
      <c r="I38" s="506"/>
      <c r="J38" s="484"/>
      <c r="K38" s="490"/>
      <c r="L38" s="483">
        <f t="shared" si="2"/>
        <v>0</v>
      </c>
      <c r="M38" s="482">
        <v>500</v>
      </c>
      <c r="N38" s="491">
        <f>400+300+350+250+200+130+115+100+100+100+100+100+75+60+50+35+35+25+20+15+10+8+5+5+50+200+260+50+50+260+150+5+50+10+250</f>
        <v>3923</v>
      </c>
      <c r="O38" s="492"/>
      <c r="P38" s="493">
        <f t="shared" si="3"/>
        <v>4423</v>
      </c>
      <c r="Q38" s="494"/>
      <c r="R38" s="495"/>
      <c r="S38" s="496">
        <f t="shared" si="0"/>
        <v>4423</v>
      </c>
      <c r="T38" s="497">
        <f t="shared" si="4"/>
        <v>4423</v>
      </c>
      <c r="U38" s="215"/>
      <c r="V38" s="215"/>
    </row>
    <row r="39" spans="2:22" ht="15" customHeight="1" thickBot="1" x14ac:dyDescent="0.35">
      <c r="B39" s="26">
        <v>24</v>
      </c>
      <c r="C39" s="338"/>
      <c r="D39" s="339"/>
      <c r="E39" s="340"/>
      <c r="F39" s="501">
        <f t="shared" si="1"/>
        <v>0</v>
      </c>
      <c r="G39" s="506"/>
      <c r="H39" s="506"/>
      <c r="I39" s="506"/>
      <c r="J39" s="484"/>
      <c r="K39" s="490"/>
      <c r="L39" s="483">
        <f t="shared" si="2"/>
        <v>0</v>
      </c>
      <c r="M39" s="482">
        <v>25</v>
      </c>
      <c r="N39" s="491">
        <f>150+5+200+150+500+100+50+200+200+65+260</f>
        <v>1880</v>
      </c>
      <c r="O39" s="492"/>
      <c r="P39" s="493">
        <f t="shared" si="3"/>
        <v>1905</v>
      </c>
      <c r="Q39" s="494"/>
      <c r="R39" s="495"/>
      <c r="S39" s="496">
        <f t="shared" si="0"/>
        <v>1905</v>
      </c>
      <c r="T39" s="497">
        <f t="shared" si="4"/>
        <v>1905</v>
      </c>
      <c r="U39" s="215"/>
      <c r="V39" s="215"/>
    </row>
    <row r="40" spans="2:22" ht="15" customHeight="1" thickBot="1" x14ac:dyDescent="0.35">
      <c r="B40" s="36">
        <v>25</v>
      </c>
      <c r="C40" s="338"/>
      <c r="D40" s="339"/>
      <c r="E40" s="340"/>
      <c r="F40" s="501">
        <f t="shared" si="1"/>
        <v>0</v>
      </c>
      <c r="G40" s="506"/>
      <c r="H40" s="506"/>
      <c r="I40" s="506"/>
      <c r="J40" s="484"/>
      <c r="K40" s="490"/>
      <c r="L40" s="483">
        <f t="shared" si="2"/>
        <v>0</v>
      </c>
      <c r="M40" s="482">
        <v>25</v>
      </c>
      <c r="N40" s="491">
        <f>65+150+150+200+4+100+50+200+150+100+100+500+300+225+250</f>
        <v>2544</v>
      </c>
      <c r="O40" s="492"/>
      <c r="P40" s="493">
        <f t="shared" si="3"/>
        <v>2569</v>
      </c>
      <c r="Q40" s="494"/>
      <c r="R40" s="495"/>
      <c r="S40" s="496">
        <f t="shared" si="0"/>
        <v>2569</v>
      </c>
      <c r="T40" s="497">
        <f t="shared" si="4"/>
        <v>2569</v>
      </c>
      <c r="U40" s="215"/>
      <c r="V40" s="215"/>
    </row>
    <row r="41" spans="2:22" ht="15" customHeight="1" thickBot="1" x14ac:dyDescent="0.35">
      <c r="B41" s="26">
        <v>26</v>
      </c>
      <c r="C41" s="338"/>
      <c r="D41" s="339"/>
      <c r="E41" s="340"/>
      <c r="F41" s="501">
        <f t="shared" si="1"/>
        <v>0</v>
      </c>
      <c r="G41" s="506"/>
      <c r="H41" s="506"/>
      <c r="I41" s="506"/>
      <c r="J41" s="484"/>
      <c r="K41" s="490"/>
      <c r="L41" s="483">
        <f t="shared" si="2"/>
        <v>0</v>
      </c>
      <c r="M41" s="482">
        <v>500</v>
      </c>
      <c r="N41" s="491">
        <f>150+400+300+250+200+130+115+100+100+100+100+100+75+60+50+50+50+50+50+35+35+25+20+15+10+10+8+5+5+350+5+20</f>
        <v>2973</v>
      </c>
      <c r="O41" s="492"/>
      <c r="P41" s="493">
        <f t="shared" si="3"/>
        <v>3473</v>
      </c>
      <c r="Q41" s="494"/>
      <c r="R41" s="495"/>
      <c r="S41" s="496">
        <f t="shared" si="0"/>
        <v>3473</v>
      </c>
      <c r="T41" s="497">
        <f t="shared" si="4"/>
        <v>3473</v>
      </c>
      <c r="U41" s="215"/>
      <c r="V41" s="215"/>
    </row>
    <row r="42" spans="2:22" ht="15" customHeight="1" thickBot="1" x14ac:dyDescent="0.35">
      <c r="B42" s="26">
        <v>27</v>
      </c>
      <c r="C42" s="338"/>
      <c r="D42" s="339"/>
      <c r="E42" s="340"/>
      <c r="F42" s="501">
        <f t="shared" si="1"/>
        <v>0</v>
      </c>
      <c r="G42" s="506"/>
      <c r="H42" s="506"/>
      <c r="I42" s="506"/>
      <c r="J42" s="484"/>
      <c r="K42" s="490"/>
      <c r="L42" s="483">
        <f t="shared" si="2"/>
        <v>0</v>
      </c>
      <c r="M42" s="482">
        <v>500</v>
      </c>
      <c r="N42" s="491">
        <f>400+300+350+250+200+130+100+100+100+100+100+75+60+50+50+35+25+20+15+10+8+5+5+5+300+50+150+50+20+50+35+10+115</f>
        <v>3273</v>
      </c>
      <c r="O42" s="492"/>
      <c r="P42" s="493">
        <f t="shared" si="3"/>
        <v>3773</v>
      </c>
      <c r="Q42" s="494"/>
      <c r="R42" s="495"/>
      <c r="S42" s="496">
        <f t="shared" si="0"/>
        <v>3773</v>
      </c>
      <c r="T42" s="497">
        <f t="shared" si="4"/>
        <v>3773</v>
      </c>
      <c r="U42" s="215"/>
      <c r="V42" s="215"/>
    </row>
    <row r="43" spans="2:22" ht="15" customHeight="1" thickBot="1" x14ac:dyDescent="0.35">
      <c r="B43" s="26">
        <v>28</v>
      </c>
      <c r="C43" s="338"/>
      <c r="D43" s="339"/>
      <c r="E43" s="340"/>
      <c r="F43" s="501">
        <f t="shared" si="1"/>
        <v>0</v>
      </c>
      <c r="G43" s="506"/>
      <c r="H43" s="506"/>
      <c r="I43" s="506"/>
      <c r="J43" s="484"/>
      <c r="K43" s="490"/>
      <c r="L43" s="483">
        <f t="shared" si="2"/>
        <v>0</v>
      </c>
      <c r="M43" s="482">
        <v>500</v>
      </c>
      <c r="N43" s="491">
        <f>8+5+5+50+130+110+40+20+5+400+300+350+250+200+130+115+100+100+100+100+50+50+75+60+50+50+35+35+25+20+15+10+10+100</f>
        <v>3103</v>
      </c>
      <c r="O43" s="492"/>
      <c r="P43" s="493">
        <f t="shared" si="3"/>
        <v>3603</v>
      </c>
      <c r="Q43" s="494"/>
      <c r="R43" s="495"/>
      <c r="S43" s="496">
        <f t="shared" si="0"/>
        <v>3603</v>
      </c>
      <c r="T43" s="497">
        <f t="shared" si="4"/>
        <v>3603</v>
      </c>
      <c r="U43" s="215"/>
      <c r="V43" s="215"/>
    </row>
    <row r="44" spans="2:22" ht="15" customHeight="1" thickBot="1" x14ac:dyDescent="0.35">
      <c r="B44" s="36">
        <v>29</v>
      </c>
      <c r="C44" s="338"/>
      <c r="D44" s="339"/>
      <c r="E44" s="340"/>
      <c r="F44" s="501">
        <f t="shared" si="1"/>
        <v>0</v>
      </c>
      <c r="G44" s="506"/>
      <c r="H44" s="506"/>
      <c r="I44" s="506"/>
      <c r="J44" s="484"/>
      <c r="K44" s="490"/>
      <c r="L44" s="483">
        <f t="shared" si="2"/>
        <v>0</v>
      </c>
      <c r="M44" s="482">
        <v>500</v>
      </c>
      <c r="N44" s="491">
        <f>400+300+350+250+200+130+115+100+100+100+75+60+50+50+50+50+50+35+35+20+25+15+10+10+8+5+5+5+150+500+150+40+15+100</f>
        <v>3558</v>
      </c>
      <c r="O44" s="492"/>
      <c r="P44" s="493">
        <f t="shared" si="3"/>
        <v>4058</v>
      </c>
      <c r="Q44" s="494"/>
      <c r="R44" s="495"/>
      <c r="S44" s="496">
        <f t="shared" si="0"/>
        <v>4058</v>
      </c>
      <c r="T44" s="497">
        <f t="shared" si="4"/>
        <v>4058</v>
      </c>
      <c r="U44" s="215"/>
      <c r="V44" s="215"/>
    </row>
    <row r="45" spans="2:22" ht="15" customHeight="1" x14ac:dyDescent="0.3">
      <c r="B45" s="26">
        <v>30</v>
      </c>
      <c r="C45" s="338"/>
      <c r="D45" s="339"/>
      <c r="E45" s="340"/>
      <c r="F45" s="501">
        <f t="shared" si="1"/>
        <v>0</v>
      </c>
      <c r="G45" s="506"/>
      <c r="H45" s="506"/>
      <c r="I45" s="506"/>
      <c r="J45" s="484"/>
      <c r="K45" s="490"/>
      <c r="L45" s="483">
        <f t="shared" si="2"/>
        <v>0</v>
      </c>
      <c r="M45" s="482">
        <v>500</v>
      </c>
      <c r="N45" s="491">
        <f>400+300+350+200+130+100+100+100+100+100+75+60+50+50+50+50+25+35+35+20+15+10+10+8+5+5+5+100+50+50+250+250+150+100+40+250+50+150+150+115</f>
        <v>4093</v>
      </c>
      <c r="O45" s="492"/>
      <c r="P45" s="493">
        <f t="shared" si="3"/>
        <v>4593</v>
      </c>
      <c r="Q45" s="345"/>
      <c r="R45" s="348"/>
      <c r="S45" s="488">
        <f t="shared" si="0"/>
        <v>4593</v>
      </c>
      <c r="T45" s="489">
        <f t="shared" si="4"/>
        <v>4593</v>
      </c>
      <c r="U45" s="215"/>
      <c r="V45" s="215"/>
    </row>
    <row r="46" spans="2:22" ht="15" customHeight="1" thickBot="1" x14ac:dyDescent="0.35">
      <c r="C46" s="224"/>
      <c r="D46" s="224"/>
      <c r="E46" s="224"/>
      <c r="F46" s="502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"/>
      <c r="V46" s="202"/>
    </row>
    <row r="47" spans="2:22" ht="15" customHeight="1" thickBot="1" x14ac:dyDescent="0.35">
      <c r="B47" s="42" t="s">
        <v>1</v>
      </c>
      <c r="C47" s="41"/>
      <c r="D47" s="178">
        <f>SUM(D16:D45)</f>
        <v>0</v>
      </c>
      <c r="E47" s="179">
        <f>SUM(E16:E45)</f>
        <v>0</v>
      </c>
      <c r="F47" s="503">
        <f>SUM(F16:F45)</f>
        <v>0</v>
      </c>
      <c r="G47" s="180">
        <f>SUM(G16:G45)</f>
        <v>0</v>
      </c>
      <c r="H47" s="180">
        <f t="shared" ref="H47:R47" si="5">SUM(H16:H45)</f>
        <v>0</v>
      </c>
      <c r="I47" s="180">
        <f t="shared" si="5"/>
        <v>0</v>
      </c>
      <c r="J47" s="180">
        <f t="shared" si="5"/>
        <v>400</v>
      </c>
      <c r="K47" s="180">
        <f t="shared" si="5"/>
        <v>0</v>
      </c>
      <c r="L47" s="175">
        <f>SUM(L16:L45)</f>
        <v>400</v>
      </c>
      <c r="M47" s="261">
        <f t="shared" si="5"/>
        <v>11030</v>
      </c>
      <c r="N47" s="261">
        <f t="shared" si="5"/>
        <v>79451</v>
      </c>
      <c r="O47" s="261">
        <f t="shared" si="5"/>
        <v>0</v>
      </c>
      <c r="P47" s="258">
        <f>SUM(P16:P45)</f>
        <v>90481</v>
      </c>
      <c r="Q47" s="195">
        <f t="shared" si="5"/>
        <v>0</v>
      </c>
      <c r="R47" s="195">
        <f t="shared" si="5"/>
        <v>0</v>
      </c>
      <c r="S47" s="194">
        <f>SUM(S16:S45)</f>
        <v>90481</v>
      </c>
      <c r="T47" s="184">
        <f>SUM(T16:T45)</f>
        <v>90881</v>
      </c>
      <c r="U47" s="22"/>
      <c r="V47" s="202"/>
    </row>
    <row r="48" spans="2:22" ht="15" customHeight="1" x14ac:dyDescent="0.3">
      <c r="B48" s="13"/>
      <c r="C48" s="14"/>
      <c r="D48" s="14"/>
      <c r="E48" s="14"/>
      <c r="F48" s="50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/>
      <c r="R48" s="14"/>
      <c r="S48" s="14"/>
      <c r="T48" s="16"/>
    </row>
    <row r="49" spans="4:20" ht="15" customHeight="1" x14ac:dyDescent="0.3">
      <c r="D49" s="215"/>
      <c r="E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</row>
    <row r="50" spans="4:20" ht="15" customHeight="1" x14ac:dyDescent="0.3">
      <c r="T50" s="228"/>
    </row>
    <row r="51" spans="4:20" ht="15" customHeight="1" x14ac:dyDescent="0.3">
      <c r="D51" s="215"/>
      <c r="E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</row>
    <row r="52" spans="4:20" ht="15" customHeight="1" x14ac:dyDescent="0.3">
      <c r="T52" s="215"/>
    </row>
    <row r="53" spans="4:20" ht="15" customHeight="1" x14ac:dyDescent="0.3"/>
    <row r="54" spans="4:20" ht="15" customHeight="1" x14ac:dyDescent="0.3"/>
    <row r="55" spans="4:20" ht="15" customHeight="1" x14ac:dyDescent="0.3"/>
    <row r="56" spans="4:20" ht="15" customHeight="1" x14ac:dyDescent="0.3"/>
    <row r="57" spans="4:20" ht="15" customHeight="1" x14ac:dyDescent="0.3"/>
    <row r="58" spans="4:20" ht="15" customHeight="1" x14ac:dyDescent="0.3"/>
    <row r="59" spans="4:20" ht="15" customHeight="1" x14ac:dyDescent="0.3"/>
    <row r="60" spans="4:20" ht="15" customHeight="1" x14ac:dyDescent="0.3"/>
    <row r="61" spans="4:20" ht="15" customHeight="1" x14ac:dyDescent="0.3"/>
    <row r="62" spans="4:20" ht="15" customHeight="1" x14ac:dyDescent="0.3"/>
    <row r="63" spans="4:20" ht="15" customHeight="1" x14ac:dyDescent="0.3"/>
    <row r="64" spans="4:20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</sheetData>
  <mergeCells count="6">
    <mergeCell ref="D12:M12"/>
    <mergeCell ref="M14:S14"/>
    <mergeCell ref="A7:S7"/>
    <mergeCell ref="A8:S8"/>
    <mergeCell ref="A9:S9"/>
    <mergeCell ref="D14:F14"/>
  </mergeCells>
  <pageMargins left="0.7" right="0.7" top="0.75" bottom="0.75" header="0.3" footer="0.3"/>
  <pageSetup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4" zoomScale="69" zoomScaleNormal="69" workbookViewId="0">
      <pane xSplit="1" topLeftCell="B1" activePane="topRight" state="frozen"/>
      <selection activeCell="R13" sqref="R13"/>
      <selection pane="topRight"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69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28</v>
      </c>
      <c r="L16" s="251">
        <f>918+122+125</f>
        <v>1165</v>
      </c>
      <c r="M16" s="252"/>
      <c r="N16" s="256">
        <f>+K16+L16+M16</f>
        <v>1193</v>
      </c>
      <c r="O16" s="235"/>
      <c r="P16" s="234"/>
      <c r="Q16" s="187">
        <f>+P16+O16+N16</f>
        <v>1193</v>
      </c>
      <c r="R16" s="183">
        <f>+Q16+J16+F16</f>
        <v>1193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28</v>
      </c>
      <c r="L17" s="251">
        <f>928+122</f>
        <v>1050</v>
      </c>
      <c r="M17" s="252"/>
      <c r="N17" s="256">
        <f t="shared" ref="N17:N46" si="2">+K17+L17+M17</f>
        <v>1078</v>
      </c>
      <c r="O17" s="213"/>
      <c r="P17" s="214"/>
      <c r="Q17" s="187">
        <f t="shared" ref="Q17:Q46" si="3">+P17+O17+N17</f>
        <v>1078</v>
      </c>
      <c r="R17" s="183">
        <f t="shared" ref="R17:R46" si="4">+Q17+J17+F17</f>
        <v>1078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28</v>
      </c>
      <c r="L20" s="251">
        <f>908+122</f>
        <v>1030</v>
      </c>
      <c r="M20" s="252"/>
      <c r="N20" s="256">
        <f t="shared" si="2"/>
        <v>1058</v>
      </c>
      <c r="O20" s="213"/>
      <c r="P20" s="214"/>
      <c r="Q20" s="187">
        <f t="shared" si="3"/>
        <v>1058</v>
      </c>
      <c r="R20" s="183">
        <f t="shared" si="4"/>
        <v>1058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28</v>
      </c>
      <c r="L21" s="251">
        <f>928+122</f>
        <v>1050</v>
      </c>
      <c r="M21" s="252"/>
      <c r="N21" s="256">
        <f t="shared" si="2"/>
        <v>1078</v>
      </c>
      <c r="O21" s="213"/>
      <c r="P21" s="214"/>
      <c r="Q21" s="187">
        <f t="shared" si="3"/>
        <v>1078</v>
      </c>
      <c r="R21" s="183">
        <f t="shared" si="4"/>
        <v>1078</v>
      </c>
      <c r="S21" s="215"/>
      <c r="T21" s="215"/>
    </row>
    <row r="22" spans="2:20" ht="15" customHeight="1" thickBot="1" x14ac:dyDescent="0.35">
      <c r="B22" s="26">
        <v>7</v>
      </c>
      <c r="C22" s="221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28</v>
      </c>
      <c r="L22" s="251">
        <f>913+122+200</f>
        <v>1235</v>
      </c>
      <c r="M22" s="252"/>
      <c r="N22" s="256">
        <f t="shared" si="2"/>
        <v>1263</v>
      </c>
      <c r="O22" s="213"/>
      <c r="P22" s="214"/>
      <c r="Q22" s="187">
        <f t="shared" si="3"/>
        <v>1263</v>
      </c>
      <c r="R22" s="183">
        <f t="shared" si="4"/>
        <v>1263</v>
      </c>
      <c r="S22" s="215"/>
      <c r="T22" s="215"/>
    </row>
    <row r="23" spans="2:20" ht="15" customHeight="1" thickBot="1" x14ac:dyDescent="0.35">
      <c r="B23" s="26">
        <v>8</v>
      </c>
      <c r="C23" s="221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28</v>
      </c>
      <c r="L23" s="251">
        <f>913+122</f>
        <v>1035</v>
      </c>
      <c r="M23" s="252"/>
      <c r="N23" s="256">
        <f t="shared" si="2"/>
        <v>1063</v>
      </c>
      <c r="O23" s="213"/>
      <c r="P23" s="214"/>
      <c r="Q23" s="187">
        <f t="shared" si="3"/>
        <v>1063</v>
      </c>
      <c r="R23" s="183">
        <f t="shared" si="4"/>
        <v>1063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28</v>
      </c>
      <c r="L24" s="251">
        <f>923+122</f>
        <v>1045</v>
      </c>
      <c r="M24" s="252"/>
      <c r="N24" s="256">
        <f t="shared" si="2"/>
        <v>1073</v>
      </c>
      <c r="O24" s="213"/>
      <c r="P24" s="214"/>
      <c r="Q24" s="187">
        <f t="shared" si="3"/>
        <v>1073</v>
      </c>
      <c r="R24" s="183">
        <f t="shared" si="4"/>
        <v>1073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>
        <v>400</v>
      </c>
      <c r="M25" s="252"/>
      <c r="N25" s="256">
        <f t="shared" si="2"/>
        <v>400</v>
      </c>
      <c r="O25" s="213"/>
      <c r="P25" s="214"/>
      <c r="Q25" s="187">
        <f t="shared" si="3"/>
        <v>400</v>
      </c>
      <c r="R25" s="183">
        <f t="shared" si="4"/>
        <v>400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28</v>
      </c>
      <c r="L27" s="251">
        <f>913+122</f>
        <v>1035</v>
      </c>
      <c r="M27" s="252"/>
      <c r="N27" s="256">
        <f t="shared" si="2"/>
        <v>1063</v>
      </c>
      <c r="O27" s="213"/>
      <c r="P27" s="214"/>
      <c r="Q27" s="187">
        <f t="shared" si="3"/>
        <v>1063</v>
      </c>
      <c r="R27" s="183">
        <f t="shared" si="4"/>
        <v>1063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28</v>
      </c>
      <c r="L28" s="251">
        <f>948+122</f>
        <v>1070</v>
      </c>
      <c r="M28" s="252"/>
      <c r="N28" s="256">
        <f t="shared" si="2"/>
        <v>1098</v>
      </c>
      <c r="O28" s="213"/>
      <c r="P28" s="214"/>
      <c r="Q28" s="187">
        <f t="shared" si="3"/>
        <v>1098</v>
      </c>
      <c r="R28" s="183">
        <f t="shared" si="4"/>
        <v>1098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28</v>
      </c>
      <c r="L29" s="251">
        <f>937+122+300</f>
        <v>1359</v>
      </c>
      <c r="M29" s="252"/>
      <c r="N29" s="256">
        <f t="shared" si="2"/>
        <v>1387</v>
      </c>
      <c r="O29" s="213"/>
      <c r="P29" s="214"/>
      <c r="Q29" s="187">
        <f t="shared" si="3"/>
        <v>1387</v>
      </c>
      <c r="R29" s="183">
        <f t="shared" si="4"/>
        <v>1387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28</v>
      </c>
      <c r="L30" s="251">
        <f>933+122</f>
        <v>1055</v>
      </c>
      <c r="M30" s="252"/>
      <c r="N30" s="256">
        <f t="shared" si="2"/>
        <v>1083</v>
      </c>
      <c r="O30" s="213"/>
      <c r="P30" s="214"/>
      <c r="Q30" s="187">
        <f t="shared" si="3"/>
        <v>1083</v>
      </c>
      <c r="R30" s="183">
        <f t="shared" si="4"/>
        <v>1083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28</v>
      </c>
      <c r="L31" s="251">
        <f>948+122</f>
        <v>1070</v>
      </c>
      <c r="M31" s="252"/>
      <c r="N31" s="256">
        <f t="shared" si="2"/>
        <v>1098</v>
      </c>
      <c r="O31" s="213"/>
      <c r="P31" s="214"/>
      <c r="Q31" s="187">
        <f t="shared" si="3"/>
        <v>1098</v>
      </c>
      <c r="R31" s="183">
        <f t="shared" si="4"/>
        <v>1098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28</v>
      </c>
      <c r="L34" s="251">
        <f>918+122</f>
        <v>1040</v>
      </c>
      <c r="M34" s="252">
        <v>120</v>
      </c>
      <c r="N34" s="256">
        <f t="shared" si="2"/>
        <v>1188</v>
      </c>
      <c r="O34" s="213"/>
      <c r="P34" s="214"/>
      <c r="Q34" s="187">
        <f t="shared" si="3"/>
        <v>1188</v>
      </c>
      <c r="R34" s="183">
        <f t="shared" si="4"/>
        <v>1188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28</v>
      </c>
      <c r="L35" s="251">
        <f>908+122</f>
        <v>1030</v>
      </c>
      <c r="M35" s="252"/>
      <c r="N35" s="256">
        <f t="shared" si="2"/>
        <v>1058</v>
      </c>
      <c r="O35" s="213"/>
      <c r="P35" s="214"/>
      <c r="Q35" s="187">
        <f t="shared" si="3"/>
        <v>1058</v>
      </c>
      <c r="R35" s="183">
        <f t="shared" si="4"/>
        <v>1058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28</v>
      </c>
      <c r="L36" s="251">
        <f>898+122</f>
        <v>1020</v>
      </c>
      <c r="M36" s="252"/>
      <c r="N36" s="256">
        <f t="shared" si="2"/>
        <v>1048</v>
      </c>
      <c r="O36" s="213"/>
      <c r="P36" s="214"/>
      <c r="Q36" s="187">
        <f t="shared" si="3"/>
        <v>1048</v>
      </c>
      <c r="R36" s="183">
        <f t="shared" si="4"/>
        <v>1048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28</v>
      </c>
      <c r="L37" s="251">
        <f>921+122</f>
        <v>1043</v>
      </c>
      <c r="M37" s="252"/>
      <c r="N37" s="256">
        <f t="shared" si="2"/>
        <v>1071</v>
      </c>
      <c r="O37" s="213"/>
      <c r="P37" s="214"/>
      <c r="Q37" s="187">
        <f t="shared" si="3"/>
        <v>1071</v>
      </c>
      <c r="R37" s="183">
        <f t="shared" si="4"/>
        <v>1071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28</v>
      </c>
      <c r="L38" s="251">
        <f>938+122</f>
        <v>1060</v>
      </c>
      <c r="M38" s="252"/>
      <c r="N38" s="256">
        <f t="shared" si="2"/>
        <v>1088</v>
      </c>
      <c r="O38" s="213"/>
      <c r="P38" s="214"/>
      <c r="Q38" s="187">
        <f t="shared" si="3"/>
        <v>1088</v>
      </c>
      <c r="R38" s="183">
        <f t="shared" si="4"/>
        <v>1088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28</v>
      </c>
      <c r="L41" s="251">
        <f>918+122</f>
        <v>1040</v>
      </c>
      <c r="M41" s="252">
        <v>250</v>
      </c>
      <c r="N41" s="256">
        <f t="shared" si="2"/>
        <v>1318</v>
      </c>
      <c r="O41" s="213"/>
      <c r="P41" s="214"/>
      <c r="Q41" s="187">
        <f t="shared" si="3"/>
        <v>1318</v>
      </c>
      <c r="R41" s="183">
        <f t="shared" si="4"/>
        <v>1318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28</v>
      </c>
      <c r="L42" s="251">
        <f>933+122</f>
        <v>1055</v>
      </c>
      <c r="M42" s="252"/>
      <c r="N42" s="256">
        <f t="shared" si="2"/>
        <v>1083</v>
      </c>
      <c r="O42" s="213"/>
      <c r="P42" s="214"/>
      <c r="Q42" s="187">
        <f t="shared" si="3"/>
        <v>1083</v>
      </c>
      <c r="R42" s="183">
        <f t="shared" si="4"/>
        <v>1083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28</v>
      </c>
      <c r="L43" s="251">
        <f>924+122</f>
        <v>1046</v>
      </c>
      <c r="M43" s="252"/>
      <c r="N43" s="256">
        <f t="shared" si="2"/>
        <v>1074</v>
      </c>
      <c r="O43" s="213"/>
      <c r="P43" s="214"/>
      <c r="Q43" s="187">
        <f t="shared" si="3"/>
        <v>1074</v>
      </c>
      <c r="R43" s="183">
        <f t="shared" si="4"/>
        <v>1074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28</v>
      </c>
      <c r="L44" s="251">
        <f>919+122</f>
        <v>1041</v>
      </c>
      <c r="M44" s="252"/>
      <c r="N44" s="256">
        <f t="shared" si="2"/>
        <v>1069</v>
      </c>
      <c r="O44" s="213"/>
      <c r="P44" s="214"/>
      <c r="Q44" s="187">
        <f t="shared" si="3"/>
        <v>1069</v>
      </c>
      <c r="R44" s="183">
        <f t="shared" si="4"/>
        <v>1069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28</v>
      </c>
      <c r="L45" s="251">
        <f>948+122</f>
        <v>1070</v>
      </c>
      <c r="M45" s="252"/>
      <c r="N45" s="256">
        <f t="shared" si="2"/>
        <v>1098</v>
      </c>
      <c r="O45" s="213"/>
      <c r="P45" s="214"/>
      <c r="Q45" s="187">
        <f t="shared" si="3"/>
        <v>1098</v>
      </c>
      <c r="R45" s="183">
        <f t="shared" si="4"/>
        <v>1098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616</v>
      </c>
      <c r="L48" s="259">
        <f t="shared" si="5"/>
        <v>24044</v>
      </c>
      <c r="M48" s="260">
        <f t="shared" si="5"/>
        <v>370</v>
      </c>
      <c r="N48" s="258">
        <f>SUM(N16:N46)</f>
        <v>25030</v>
      </c>
      <c r="O48" s="195">
        <f t="shared" si="5"/>
        <v>0</v>
      </c>
      <c r="P48" s="195">
        <f t="shared" si="5"/>
        <v>0</v>
      </c>
      <c r="Q48" s="194">
        <f>SUM(Q16:Q46)</f>
        <v>25030</v>
      </c>
      <c r="R48" s="185">
        <f>SUM(R16:R46)</f>
        <v>25030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25030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3" zoomScale="59" zoomScaleNormal="59" workbookViewId="0">
      <pane xSplit="1" topLeftCell="B1" activePane="topRight" state="frozen"/>
      <selection activeCell="R13" sqref="R13"/>
      <selection pane="topRight" activeCell="M43" sqref="M43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9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247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9</v>
      </c>
      <c r="L16" s="251">
        <f>480+3+25+20+20+20+10+30+10+30+30</f>
        <v>678</v>
      </c>
      <c r="M16" s="252"/>
      <c r="N16" s="256">
        <f>+K16+L16+M16</f>
        <v>687</v>
      </c>
      <c r="O16" s="235"/>
      <c r="P16" s="234"/>
      <c r="Q16" s="187">
        <f>+P16+O16+N16</f>
        <v>687</v>
      </c>
      <c r="R16" s="183">
        <f>+Q16+J16+F16</f>
        <v>687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10</v>
      </c>
      <c r="L17" s="251">
        <f>400+3+20+23+20+10+30+30+10+30</f>
        <v>576</v>
      </c>
      <c r="M17" s="252"/>
      <c r="N17" s="256">
        <f t="shared" ref="N17:N46" si="2">+K17+L17+M17</f>
        <v>586</v>
      </c>
      <c r="O17" s="213"/>
      <c r="P17" s="214"/>
      <c r="Q17" s="187">
        <f t="shared" ref="Q17:Q46" si="3">+P17+O17+N17</f>
        <v>586</v>
      </c>
      <c r="R17" s="183">
        <f t="shared" ref="R17:R46" si="4">+Q17+J17+F17</f>
        <v>586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12</v>
      </c>
      <c r="L20" s="251">
        <f>398+268</f>
        <v>666</v>
      </c>
      <c r="M20" s="252"/>
      <c r="N20" s="256">
        <f t="shared" si="2"/>
        <v>678</v>
      </c>
      <c r="O20" s="213"/>
      <c r="P20" s="214"/>
      <c r="Q20" s="187">
        <f t="shared" si="3"/>
        <v>678</v>
      </c>
      <c r="R20" s="183">
        <f t="shared" si="4"/>
        <v>678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12</v>
      </c>
      <c r="L21" s="251">
        <f>433+30+20+30+20+20+3+20+20+10+95+30</f>
        <v>731</v>
      </c>
      <c r="M21" s="252"/>
      <c r="N21" s="256">
        <f t="shared" si="2"/>
        <v>743</v>
      </c>
      <c r="O21" s="213"/>
      <c r="P21" s="214"/>
      <c r="Q21" s="187">
        <f t="shared" si="3"/>
        <v>743</v>
      </c>
      <c r="R21" s="183">
        <f t="shared" si="4"/>
        <v>743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11</v>
      </c>
      <c r="L22" s="251">
        <f>486+10+5+30+30+20+20+30+20+25+40</f>
        <v>716</v>
      </c>
      <c r="M22" s="252"/>
      <c r="N22" s="256">
        <f t="shared" si="2"/>
        <v>727</v>
      </c>
      <c r="O22" s="213"/>
      <c r="P22" s="214"/>
      <c r="Q22" s="187">
        <f t="shared" si="3"/>
        <v>727</v>
      </c>
      <c r="R22" s="183">
        <f t="shared" si="4"/>
        <v>727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11</v>
      </c>
      <c r="L23" s="251">
        <f>500+10+2+100+20+10+30+20+20+30+14+20</f>
        <v>776</v>
      </c>
      <c r="M23" s="252"/>
      <c r="N23" s="256">
        <f t="shared" si="2"/>
        <v>787</v>
      </c>
      <c r="O23" s="213"/>
      <c r="P23" s="214"/>
      <c r="Q23" s="187">
        <f t="shared" si="3"/>
        <v>787</v>
      </c>
      <c r="R23" s="183">
        <f t="shared" si="4"/>
        <v>787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12</v>
      </c>
      <c r="L24" s="251">
        <f>413+100+30+20+20+30+25+20+30+20+10</f>
        <v>718</v>
      </c>
      <c r="M24" s="252"/>
      <c r="N24" s="256">
        <f t="shared" si="2"/>
        <v>730</v>
      </c>
      <c r="O24" s="213"/>
      <c r="P24" s="214"/>
      <c r="Q24" s="187">
        <f t="shared" si="3"/>
        <v>730</v>
      </c>
      <c r="R24" s="183">
        <f t="shared" si="4"/>
        <v>730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12</v>
      </c>
      <c r="L27" s="251">
        <f>328+3+20+20+30+30+20+10+10+73</f>
        <v>544</v>
      </c>
      <c r="M27" s="252"/>
      <c r="N27" s="256">
        <f t="shared" si="2"/>
        <v>556</v>
      </c>
      <c r="O27" s="213"/>
      <c r="P27" s="214"/>
      <c r="Q27" s="187">
        <f t="shared" si="3"/>
        <v>556</v>
      </c>
      <c r="R27" s="183">
        <f t="shared" si="4"/>
        <v>556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11</v>
      </c>
      <c r="L28" s="251">
        <f>400+279</f>
        <v>679</v>
      </c>
      <c r="M28" s="252"/>
      <c r="N28" s="256">
        <f t="shared" si="2"/>
        <v>690</v>
      </c>
      <c r="O28" s="213"/>
      <c r="P28" s="214"/>
      <c r="Q28" s="187">
        <f t="shared" si="3"/>
        <v>690</v>
      </c>
      <c r="R28" s="183">
        <f t="shared" si="4"/>
        <v>690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11</v>
      </c>
      <c r="L29" s="251">
        <f>350+167</f>
        <v>517</v>
      </c>
      <c r="M29" s="252"/>
      <c r="N29" s="256">
        <f t="shared" si="2"/>
        <v>528</v>
      </c>
      <c r="O29" s="213"/>
      <c r="P29" s="214"/>
      <c r="Q29" s="187">
        <f t="shared" si="3"/>
        <v>528</v>
      </c>
      <c r="R29" s="183">
        <f t="shared" si="4"/>
        <v>528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11</v>
      </c>
      <c r="L30" s="251">
        <f>400+177</f>
        <v>577</v>
      </c>
      <c r="M30" s="252"/>
      <c r="N30" s="256">
        <f t="shared" si="2"/>
        <v>588</v>
      </c>
      <c r="O30" s="213"/>
      <c r="P30" s="214"/>
      <c r="Q30" s="187">
        <f t="shared" si="3"/>
        <v>588</v>
      </c>
      <c r="R30" s="183">
        <f t="shared" si="4"/>
        <v>588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13</v>
      </c>
      <c r="L31" s="251">
        <f>397+20+20+20+10+10+30</f>
        <v>507</v>
      </c>
      <c r="M31" s="252"/>
      <c r="N31" s="256">
        <f t="shared" si="2"/>
        <v>520</v>
      </c>
      <c r="O31" s="213"/>
      <c r="P31" s="214"/>
      <c r="Q31" s="187">
        <f t="shared" si="3"/>
        <v>520</v>
      </c>
      <c r="R31" s="183">
        <f t="shared" si="4"/>
        <v>520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30</v>
      </c>
      <c r="L34" s="251">
        <f>50+945+68+90+20</f>
        <v>1173</v>
      </c>
      <c r="M34" s="252"/>
      <c r="N34" s="256">
        <f t="shared" si="2"/>
        <v>1203</v>
      </c>
      <c r="O34" s="213"/>
      <c r="P34" s="214"/>
      <c r="Q34" s="187">
        <f t="shared" si="3"/>
        <v>1203</v>
      </c>
      <c r="R34" s="183">
        <f t="shared" si="4"/>
        <v>1203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20</v>
      </c>
      <c r="L35" s="251">
        <f>281+358+30+50+80+50+10</f>
        <v>859</v>
      </c>
      <c r="M35" s="252"/>
      <c r="N35" s="256">
        <f t="shared" si="2"/>
        <v>879</v>
      </c>
      <c r="O35" s="213"/>
      <c r="P35" s="214"/>
      <c r="Q35" s="187">
        <f t="shared" si="3"/>
        <v>879</v>
      </c>
      <c r="R35" s="183">
        <f t="shared" si="4"/>
        <v>879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20</v>
      </c>
      <c r="L36" s="251">
        <f>260+20+10+40+50+20+30+270+203+270</f>
        <v>1173</v>
      </c>
      <c r="M36" s="252"/>
      <c r="N36" s="256">
        <f t="shared" si="2"/>
        <v>1193</v>
      </c>
      <c r="O36" s="213"/>
      <c r="P36" s="214"/>
      <c r="Q36" s="187">
        <f t="shared" si="3"/>
        <v>1193</v>
      </c>
      <c r="R36" s="183">
        <f t="shared" si="4"/>
        <v>1193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11</v>
      </c>
      <c r="L37" s="251">
        <f>280+270+270+449+531+20+17+20+25+6</f>
        <v>1888</v>
      </c>
      <c r="M37" s="252"/>
      <c r="N37" s="256">
        <f t="shared" si="2"/>
        <v>1899</v>
      </c>
      <c r="O37" s="213"/>
      <c r="P37" s="214"/>
      <c r="Q37" s="187">
        <f t="shared" si="3"/>
        <v>1899</v>
      </c>
      <c r="R37" s="183">
        <f t="shared" si="4"/>
        <v>1899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18</v>
      </c>
      <c r="L38" s="251">
        <f>240+15+150+200+20+26+60+81+25+20+203+270+34+10+74</f>
        <v>1428</v>
      </c>
      <c r="M38" s="252"/>
      <c r="N38" s="256">
        <f t="shared" si="2"/>
        <v>1446</v>
      </c>
      <c r="O38" s="213"/>
      <c r="P38" s="214"/>
      <c r="Q38" s="187">
        <f t="shared" si="3"/>
        <v>1446</v>
      </c>
      <c r="R38" s="183">
        <f t="shared" si="4"/>
        <v>1446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12</v>
      </c>
      <c r="L41" s="251">
        <f>228+10+270+25+20+10+20+6+200+30+378+200</f>
        <v>1397</v>
      </c>
      <c r="M41" s="252"/>
      <c r="N41" s="256">
        <f t="shared" si="2"/>
        <v>1409</v>
      </c>
      <c r="O41" s="213"/>
      <c r="P41" s="214"/>
      <c r="Q41" s="187">
        <f t="shared" si="3"/>
        <v>1409</v>
      </c>
      <c r="R41" s="183">
        <f t="shared" si="4"/>
        <v>1409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15</v>
      </c>
      <c r="L42" s="251">
        <f>260+30+20+20+270+10+130+74+176+134+25+20+30+173</f>
        <v>1372</v>
      </c>
      <c r="M42" s="252"/>
      <c r="N42" s="256">
        <f t="shared" si="2"/>
        <v>1387</v>
      </c>
      <c r="O42" s="213"/>
      <c r="P42" s="214"/>
      <c r="Q42" s="187">
        <f t="shared" si="3"/>
        <v>1387</v>
      </c>
      <c r="R42" s="183">
        <f t="shared" si="4"/>
        <v>1387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20</v>
      </c>
      <c r="L43" s="251">
        <f>250+270+80+20+135+270+20+50+20+34+270</f>
        <v>1419</v>
      </c>
      <c r="M43" s="252"/>
      <c r="N43" s="256">
        <f t="shared" si="2"/>
        <v>1439</v>
      </c>
      <c r="O43" s="213"/>
      <c r="P43" s="214"/>
      <c r="Q43" s="187">
        <f t="shared" si="3"/>
        <v>1439</v>
      </c>
      <c r="R43" s="183">
        <f t="shared" si="4"/>
        <v>1439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15</v>
      </c>
      <c r="L44" s="251">
        <f>280+194+20+30+18+270+20+135+135+10+20+108</f>
        <v>1240</v>
      </c>
      <c r="M44" s="252"/>
      <c r="N44" s="256">
        <f t="shared" si="2"/>
        <v>1255</v>
      </c>
      <c r="O44" s="213"/>
      <c r="P44" s="214"/>
      <c r="Q44" s="187">
        <f t="shared" si="3"/>
        <v>1255</v>
      </c>
      <c r="R44" s="183">
        <f t="shared" si="4"/>
        <v>1255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20</v>
      </c>
      <c r="L45" s="251">
        <f>292+270+90+30+20+20+10+13+20+135+462+101</f>
        <v>1463</v>
      </c>
      <c r="M45" s="252"/>
      <c r="N45" s="256">
        <f t="shared" si="2"/>
        <v>1483</v>
      </c>
      <c r="O45" s="213"/>
      <c r="P45" s="214"/>
      <c r="Q45" s="187">
        <f t="shared" si="3"/>
        <v>1483</v>
      </c>
      <c r="R45" s="183">
        <f t="shared" si="4"/>
        <v>1483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 t="s">
        <v>38</v>
      </c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316</v>
      </c>
      <c r="L48" s="259">
        <f t="shared" si="5"/>
        <v>21097</v>
      </c>
      <c r="M48" s="260">
        <f t="shared" si="5"/>
        <v>0</v>
      </c>
      <c r="N48" s="258">
        <f>SUM(N16:N46)</f>
        <v>21413</v>
      </c>
      <c r="O48" s="195">
        <f t="shared" si="5"/>
        <v>0</v>
      </c>
      <c r="P48" s="195">
        <f t="shared" si="5"/>
        <v>0</v>
      </c>
      <c r="Q48" s="194">
        <f>SUM(Q16:Q46)</f>
        <v>21413</v>
      </c>
      <c r="R48" s="185">
        <f>SUM(R16:R46)</f>
        <v>21413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21413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0" zoomScale="69" zoomScaleNormal="69" workbookViewId="0">
      <pane xSplit="1" topLeftCell="B1" activePane="topRight" state="frozen"/>
      <selection activeCell="R13" sqref="R13"/>
      <selection pane="topRight" activeCell="L41" sqref="L41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24</v>
      </c>
      <c r="L16" s="251">
        <f>600+100+20+50+20</f>
        <v>790</v>
      </c>
      <c r="M16" s="252"/>
      <c r="N16" s="256">
        <f>+K16+L16+M16</f>
        <v>814</v>
      </c>
      <c r="O16" s="235"/>
      <c r="P16" s="234"/>
      <c r="Q16" s="187">
        <f>+P16+O16+N16</f>
        <v>814</v>
      </c>
      <c r="R16" s="183">
        <f>+Q16+J16+F16</f>
        <v>814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24</v>
      </c>
      <c r="L17" s="251">
        <f>560+100+50+20</f>
        <v>730</v>
      </c>
      <c r="M17" s="252"/>
      <c r="N17" s="256">
        <f t="shared" ref="N17:N46" si="2">+K17+L17+M17</f>
        <v>754</v>
      </c>
      <c r="O17" s="213"/>
      <c r="P17" s="214"/>
      <c r="Q17" s="187">
        <f t="shared" ref="Q17:Q46" si="3">+P17+O17+N17</f>
        <v>754</v>
      </c>
      <c r="R17" s="183">
        <f t="shared" ref="R17:R46" si="4">+Q17+J17+F17</f>
        <v>754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24</v>
      </c>
      <c r="L20" s="251">
        <f>480+100+20+50</f>
        <v>650</v>
      </c>
      <c r="M20" s="252"/>
      <c r="N20" s="256">
        <f t="shared" si="2"/>
        <v>674</v>
      </c>
      <c r="O20" s="213"/>
      <c r="P20" s="214"/>
      <c r="Q20" s="187">
        <f t="shared" si="3"/>
        <v>674</v>
      </c>
      <c r="R20" s="183">
        <f t="shared" si="4"/>
        <v>674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24</v>
      </c>
      <c r="L21" s="251">
        <f>506+100+10+10+50</f>
        <v>676</v>
      </c>
      <c r="M21" s="252"/>
      <c r="N21" s="256">
        <f t="shared" si="2"/>
        <v>700</v>
      </c>
      <c r="O21" s="213"/>
      <c r="P21" s="214"/>
      <c r="Q21" s="187">
        <f t="shared" si="3"/>
        <v>700</v>
      </c>
      <c r="R21" s="183">
        <f t="shared" si="4"/>
        <v>700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24</v>
      </c>
      <c r="L22" s="251">
        <f>500+100+20+20+10</f>
        <v>650</v>
      </c>
      <c r="M22" s="252"/>
      <c r="N22" s="256">
        <f t="shared" si="2"/>
        <v>674</v>
      </c>
      <c r="O22" s="213"/>
      <c r="P22" s="214"/>
      <c r="Q22" s="187">
        <f t="shared" si="3"/>
        <v>674</v>
      </c>
      <c r="R22" s="183">
        <f t="shared" si="4"/>
        <v>674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24</v>
      </c>
      <c r="L23" s="251">
        <f>600+100+20+20+20</f>
        <v>760</v>
      </c>
      <c r="M23" s="252"/>
      <c r="N23" s="256">
        <f t="shared" si="2"/>
        <v>784</v>
      </c>
      <c r="O23" s="213"/>
      <c r="P23" s="214"/>
      <c r="Q23" s="187">
        <f t="shared" si="3"/>
        <v>784</v>
      </c>
      <c r="R23" s="183">
        <f t="shared" si="4"/>
        <v>784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24</v>
      </c>
      <c r="L24" s="251">
        <f>580+100+20+10+10</f>
        <v>720</v>
      </c>
      <c r="M24" s="252"/>
      <c r="N24" s="256">
        <f t="shared" si="2"/>
        <v>744</v>
      </c>
      <c r="O24" s="213"/>
      <c r="P24" s="214"/>
      <c r="Q24" s="187">
        <f t="shared" si="3"/>
        <v>744</v>
      </c>
      <c r="R24" s="183">
        <f t="shared" si="4"/>
        <v>744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24</v>
      </c>
      <c r="L27" s="251">
        <f>490+10+20+10</f>
        <v>530</v>
      </c>
      <c r="M27" s="252"/>
      <c r="N27" s="256">
        <f t="shared" si="2"/>
        <v>554</v>
      </c>
      <c r="O27" s="213"/>
      <c r="P27" s="214"/>
      <c r="Q27" s="187">
        <f t="shared" si="3"/>
        <v>554</v>
      </c>
      <c r="R27" s="183">
        <f t="shared" si="4"/>
        <v>554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24</v>
      </c>
      <c r="L28" s="251">
        <f>450+20+20+20</f>
        <v>510</v>
      </c>
      <c r="M28" s="252"/>
      <c r="N28" s="256">
        <f t="shared" si="2"/>
        <v>534</v>
      </c>
      <c r="O28" s="213"/>
      <c r="P28" s="214"/>
      <c r="Q28" s="187">
        <f t="shared" si="3"/>
        <v>534</v>
      </c>
      <c r="R28" s="183">
        <f t="shared" si="4"/>
        <v>534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24</v>
      </c>
      <c r="L29" s="251">
        <f>470+20+10</f>
        <v>500</v>
      </c>
      <c r="M29" s="252"/>
      <c r="N29" s="256">
        <f t="shared" si="2"/>
        <v>524</v>
      </c>
      <c r="O29" s="213"/>
      <c r="P29" s="214"/>
      <c r="Q29" s="187">
        <f t="shared" si="3"/>
        <v>524</v>
      </c>
      <c r="R29" s="183">
        <f t="shared" si="4"/>
        <v>524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24</v>
      </c>
      <c r="L30" s="251">
        <f>500+20+20</f>
        <v>540</v>
      </c>
      <c r="M30" s="252"/>
      <c r="N30" s="256">
        <f t="shared" si="2"/>
        <v>564</v>
      </c>
      <c r="O30" s="213"/>
      <c r="P30" s="214"/>
      <c r="Q30" s="187">
        <f t="shared" si="3"/>
        <v>564</v>
      </c>
      <c r="R30" s="183">
        <f t="shared" si="4"/>
        <v>564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24</v>
      </c>
      <c r="L31" s="251">
        <f>520+10+10</f>
        <v>540</v>
      </c>
      <c r="M31" s="252"/>
      <c r="N31" s="256">
        <f t="shared" si="2"/>
        <v>564</v>
      </c>
      <c r="O31" s="213"/>
      <c r="P31" s="214"/>
      <c r="Q31" s="187">
        <f t="shared" si="3"/>
        <v>564</v>
      </c>
      <c r="R31" s="183">
        <f t="shared" si="4"/>
        <v>564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24</v>
      </c>
      <c r="L34" s="251">
        <f>520+150+68+54</f>
        <v>792</v>
      </c>
      <c r="M34" s="252"/>
      <c r="N34" s="256">
        <f t="shared" si="2"/>
        <v>816</v>
      </c>
      <c r="O34" s="213"/>
      <c r="P34" s="214"/>
      <c r="Q34" s="187">
        <f t="shared" si="3"/>
        <v>816</v>
      </c>
      <c r="R34" s="183">
        <f t="shared" si="4"/>
        <v>816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24</v>
      </c>
      <c r="L35" s="251">
        <f>560+675+10+54</f>
        <v>1299</v>
      </c>
      <c r="M35" s="252"/>
      <c r="N35" s="256">
        <f t="shared" si="2"/>
        <v>1323</v>
      </c>
      <c r="O35" s="213"/>
      <c r="P35" s="214"/>
      <c r="Q35" s="187">
        <f t="shared" si="3"/>
        <v>1323</v>
      </c>
      <c r="R35" s="183">
        <f t="shared" si="4"/>
        <v>1323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24</v>
      </c>
      <c r="L36" s="251">
        <f>540+675+40</f>
        <v>1255</v>
      </c>
      <c r="M36" s="252"/>
      <c r="N36" s="256">
        <f t="shared" si="2"/>
        <v>1279</v>
      </c>
      <c r="O36" s="213"/>
      <c r="P36" s="214"/>
      <c r="Q36" s="187">
        <f t="shared" si="3"/>
        <v>1279</v>
      </c>
      <c r="R36" s="183">
        <f t="shared" si="4"/>
        <v>1279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24</v>
      </c>
      <c r="L37" s="251">
        <f>470+54+675</f>
        <v>1199</v>
      </c>
      <c r="M37" s="252"/>
      <c r="N37" s="256">
        <f t="shared" si="2"/>
        <v>1223</v>
      </c>
      <c r="O37" s="213"/>
      <c r="P37" s="214"/>
      <c r="Q37" s="187">
        <f t="shared" si="3"/>
        <v>1223</v>
      </c>
      <c r="R37" s="183">
        <f t="shared" si="4"/>
        <v>1223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24</v>
      </c>
      <c r="L38" s="251">
        <f>540+54</f>
        <v>594</v>
      </c>
      <c r="M38" s="252"/>
      <c r="N38" s="256">
        <f t="shared" si="2"/>
        <v>618</v>
      </c>
      <c r="O38" s="213"/>
      <c r="P38" s="214"/>
      <c r="Q38" s="187">
        <f t="shared" si="3"/>
        <v>618</v>
      </c>
      <c r="R38" s="183">
        <f t="shared" si="4"/>
        <v>618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24</v>
      </c>
      <c r="L41" s="251">
        <f>480+20+10</f>
        <v>510</v>
      </c>
      <c r="M41" s="252"/>
      <c r="N41" s="256">
        <f t="shared" si="2"/>
        <v>534</v>
      </c>
      <c r="O41" s="213"/>
      <c r="P41" s="214"/>
      <c r="Q41" s="187">
        <f t="shared" si="3"/>
        <v>534</v>
      </c>
      <c r="R41" s="183">
        <f t="shared" si="4"/>
        <v>534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24</v>
      </c>
      <c r="L42" s="251">
        <f>520+10+10</f>
        <v>540</v>
      </c>
      <c r="M42" s="252"/>
      <c r="N42" s="256">
        <f t="shared" si="2"/>
        <v>564</v>
      </c>
      <c r="O42" s="213"/>
      <c r="P42" s="214"/>
      <c r="Q42" s="187">
        <f t="shared" si="3"/>
        <v>564</v>
      </c>
      <c r="R42" s="183">
        <f t="shared" si="4"/>
        <v>564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24</v>
      </c>
      <c r="L43" s="251">
        <f>580+10+10</f>
        <v>600</v>
      </c>
      <c r="M43" s="252"/>
      <c r="N43" s="256">
        <f t="shared" si="2"/>
        <v>624</v>
      </c>
      <c r="O43" s="213"/>
      <c r="P43" s="214"/>
      <c r="Q43" s="187">
        <f t="shared" si="3"/>
        <v>624</v>
      </c>
      <c r="R43" s="183">
        <f t="shared" si="4"/>
        <v>624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24</v>
      </c>
      <c r="L44" s="251">
        <f>500+30+20</f>
        <v>550</v>
      </c>
      <c r="M44" s="252"/>
      <c r="N44" s="256">
        <f t="shared" si="2"/>
        <v>574</v>
      </c>
      <c r="O44" s="213"/>
      <c r="P44" s="214"/>
      <c r="Q44" s="187">
        <f t="shared" si="3"/>
        <v>574</v>
      </c>
      <c r="R44" s="183">
        <f t="shared" si="4"/>
        <v>574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24</v>
      </c>
      <c r="L45" s="251">
        <f>490+10+10</f>
        <v>510</v>
      </c>
      <c r="M45" s="252"/>
      <c r="N45" s="256">
        <f t="shared" si="2"/>
        <v>534</v>
      </c>
      <c r="O45" s="213"/>
      <c r="P45" s="214"/>
      <c r="Q45" s="187">
        <f t="shared" si="3"/>
        <v>534</v>
      </c>
      <c r="R45" s="183">
        <f t="shared" si="4"/>
        <v>534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528</v>
      </c>
      <c r="L48" s="259">
        <f t="shared" si="5"/>
        <v>15445</v>
      </c>
      <c r="M48" s="260">
        <f t="shared" si="5"/>
        <v>0</v>
      </c>
      <c r="N48" s="258">
        <f>SUM(N16:N46)</f>
        <v>15973</v>
      </c>
      <c r="O48" s="195">
        <f t="shared" si="5"/>
        <v>0</v>
      </c>
      <c r="P48" s="195">
        <f t="shared" si="5"/>
        <v>0</v>
      </c>
      <c r="Q48" s="194">
        <f>SUM(Q16:Q46)</f>
        <v>15973</v>
      </c>
      <c r="R48" s="185">
        <f>SUM(R16:R46)</f>
        <v>15973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15973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9" zoomScale="73" zoomScaleNormal="73" workbookViewId="0">
      <pane xSplit="1" topLeftCell="B1" activePane="topRight" state="frozen"/>
      <selection activeCell="R13" sqref="R13"/>
      <selection pane="topRight" activeCell="L41" sqref="L41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36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33</v>
      </c>
      <c r="L16" s="251">
        <f>1285+7</f>
        <v>1292</v>
      </c>
      <c r="M16" s="252"/>
      <c r="N16" s="256">
        <f>+K16+L16+M16</f>
        <v>1325</v>
      </c>
      <c r="O16" s="235"/>
      <c r="P16" s="234"/>
      <c r="Q16" s="187">
        <f>+P16+O16+N16</f>
        <v>1325</v>
      </c>
      <c r="R16" s="183">
        <f>+Q16+J16+F16</f>
        <v>1325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33</v>
      </c>
      <c r="L17" s="251">
        <f>7+1223</f>
        <v>1230</v>
      </c>
      <c r="M17" s="252"/>
      <c r="N17" s="256">
        <f t="shared" ref="N17:N46" si="2">+K17+L17+M17</f>
        <v>1263</v>
      </c>
      <c r="O17" s="213"/>
      <c r="P17" s="214"/>
      <c r="Q17" s="187">
        <f t="shared" ref="Q17:Q46" si="3">+P17+O17+N17</f>
        <v>1263</v>
      </c>
      <c r="R17" s="183">
        <f t="shared" ref="R17:R46" si="4">+Q17+J17+F17</f>
        <v>1263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33</v>
      </c>
      <c r="L20" s="251">
        <f>7+1385</f>
        <v>1392</v>
      </c>
      <c r="M20" s="252"/>
      <c r="N20" s="256">
        <f t="shared" si="2"/>
        <v>1425</v>
      </c>
      <c r="O20" s="213"/>
      <c r="P20" s="214"/>
      <c r="Q20" s="187">
        <f t="shared" si="3"/>
        <v>1425</v>
      </c>
      <c r="R20" s="183">
        <f t="shared" si="4"/>
        <v>1425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33</v>
      </c>
      <c r="L21" s="251">
        <f>1245+7</f>
        <v>1252</v>
      </c>
      <c r="M21" s="252"/>
      <c r="N21" s="256">
        <f t="shared" si="2"/>
        <v>1285</v>
      </c>
      <c r="O21" s="213"/>
      <c r="P21" s="214"/>
      <c r="Q21" s="187">
        <f t="shared" si="3"/>
        <v>1285</v>
      </c>
      <c r="R21" s="183">
        <f t="shared" si="4"/>
        <v>1285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33</v>
      </c>
      <c r="L22" s="251">
        <f>7+1295</f>
        <v>1302</v>
      </c>
      <c r="M22" s="252"/>
      <c r="N22" s="256">
        <f t="shared" si="2"/>
        <v>1335</v>
      </c>
      <c r="O22" s="213"/>
      <c r="P22" s="214"/>
      <c r="Q22" s="187">
        <f t="shared" si="3"/>
        <v>1335</v>
      </c>
      <c r="R22" s="183">
        <f t="shared" si="4"/>
        <v>1335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33</v>
      </c>
      <c r="L23" s="251">
        <f>7+1385</f>
        <v>1392</v>
      </c>
      <c r="M23" s="252"/>
      <c r="N23" s="256">
        <f t="shared" si="2"/>
        <v>1425</v>
      </c>
      <c r="O23" s="213"/>
      <c r="P23" s="214"/>
      <c r="Q23" s="187">
        <f t="shared" si="3"/>
        <v>1425</v>
      </c>
      <c r="R23" s="183">
        <f t="shared" si="4"/>
        <v>1425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33</v>
      </c>
      <c r="L24" s="251">
        <f>7+120+1255</f>
        <v>1382</v>
      </c>
      <c r="M24" s="252"/>
      <c r="N24" s="256">
        <f t="shared" si="2"/>
        <v>1415</v>
      </c>
      <c r="O24" s="213"/>
      <c r="P24" s="214"/>
      <c r="Q24" s="187">
        <f t="shared" si="3"/>
        <v>1415</v>
      </c>
      <c r="R24" s="183">
        <f t="shared" si="4"/>
        <v>1415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33</v>
      </c>
      <c r="L27" s="251">
        <f>7+1398</f>
        <v>1405</v>
      </c>
      <c r="M27" s="252"/>
      <c r="N27" s="256">
        <f t="shared" si="2"/>
        <v>1438</v>
      </c>
      <c r="O27" s="213"/>
      <c r="P27" s="214"/>
      <c r="Q27" s="187">
        <f t="shared" si="3"/>
        <v>1438</v>
      </c>
      <c r="R27" s="183">
        <f t="shared" si="4"/>
        <v>1438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33</v>
      </c>
      <c r="L28" s="251">
        <f>7+1275</f>
        <v>1282</v>
      </c>
      <c r="M28" s="252"/>
      <c r="N28" s="256">
        <f t="shared" si="2"/>
        <v>1315</v>
      </c>
      <c r="O28" s="213"/>
      <c r="P28" s="214"/>
      <c r="Q28" s="187">
        <f t="shared" si="3"/>
        <v>1315</v>
      </c>
      <c r="R28" s="183">
        <f t="shared" si="4"/>
        <v>1315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33</v>
      </c>
      <c r="L29" s="251">
        <f>7+1415</f>
        <v>1422</v>
      </c>
      <c r="M29" s="252"/>
      <c r="N29" s="256">
        <f t="shared" si="2"/>
        <v>1455</v>
      </c>
      <c r="O29" s="213"/>
      <c r="P29" s="214"/>
      <c r="Q29" s="187">
        <f t="shared" si="3"/>
        <v>1455</v>
      </c>
      <c r="R29" s="183">
        <f t="shared" si="4"/>
        <v>1455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33</v>
      </c>
      <c r="L30" s="251">
        <f>7+1425</f>
        <v>1432</v>
      </c>
      <c r="M30" s="252"/>
      <c r="N30" s="256">
        <f t="shared" si="2"/>
        <v>1465</v>
      </c>
      <c r="O30" s="213"/>
      <c r="P30" s="214"/>
      <c r="Q30" s="187">
        <f t="shared" si="3"/>
        <v>1465</v>
      </c>
      <c r="R30" s="183">
        <f t="shared" si="4"/>
        <v>1465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33</v>
      </c>
      <c r="L31" s="251">
        <f>7+1465</f>
        <v>1472</v>
      </c>
      <c r="M31" s="252"/>
      <c r="N31" s="256">
        <f t="shared" si="2"/>
        <v>1505</v>
      </c>
      <c r="O31" s="213"/>
      <c r="P31" s="214"/>
      <c r="Q31" s="187">
        <f t="shared" si="3"/>
        <v>1505</v>
      </c>
      <c r="R31" s="183">
        <f t="shared" si="4"/>
        <v>1505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33</v>
      </c>
      <c r="L34" s="251">
        <f>7+1405</f>
        <v>1412</v>
      </c>
      <c r="M34" s="252"/>
      <c r="N34" s="256">
        <f t="shared" si="2"/>
        <v>1445</v>
      </c>
      <c r="O34" s="213"/>
      <c r="P34" s="214"/>
      <c r="Q34" s="187">
        <f t="shared" si="3"/>
        <v>1445</v>
      </c>
      <c r="R34" s="183">
        <f t="shared" si="4"/>
        <v>1445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33</v>
      </c>
      <c r="L35" s="251">
        <f>7+1450+33</f>
        <v>1490</v>
      </c>
      <c r="M35" s="252"/>
      <c r="N35" s="256">
        <f t="shared" si="2"/>
        <v>1523</v>
      </c>
      <c r="O35" s="213"/>
      <c r="P35" s="214"/>
      <c r="Q35" s="187">
        <f t="shared" si="3"/>
        <v>1523</v>
      </c>
      <c r="R35" s="183">
        <f t="shared" si="4"/>
        <v>1523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33</v>
      </c>
      <c r="L36" s="251">
        <f>7+1485</f>
        <v>1492</v>
      </c>
      <c r="M36" s="252"/>
      <c r="N36" s="256">
        <f t="shared" si="2"/>
        <v>1525</v>
      </c>
      <c r="O36" s="213"/>
      <c r="P36" s="214"/>
      <c r="Q36" s="187">
        <f t="shared" si="3"/>
        <v>1525</v>
      </c>
      <c r="R36" s="183">
        <f t="shared" si="4"/>
        <v>1525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33</v>
      </c>
      <c r="L37" s="251">
        <f>7+1495</f>
        <v>1502</v>
      </c>
      <c r="M37" s="252"/>
      <c r="N37" s="256">
        <f t="shared" si="2"/>
        <v>1535</v>
      </c>
      <c r="O37" s="213"/>
      <c r="P37" s="214"/>
      <c r="Q37" s="187">
        <f t="shared" si="3"/>
        <v>1535</v>
      </c>
      <c r="R37" s="183">
        <f t="shared" si="4"/>
        <v>1535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33</v>
      </c>
      <c r="L38" s="251">
        <f>7+1348</f>
        <v>1355</v>
      </c>
      <c r="M38" s="252">
        <v>400</v>
      </c>
      <c r="N38" s="256">
        <f t="shared" si="2"/>
        <v>1788</v>
      </c>
      <c r="O38" s="213"/>
      <c r="P38" s="214"/>
      <c r="Q38" s="187">
        <f t="shared" si="3"/>
        <v>1788</v>
      </c>
      <c r="R38" s="183">
        <f t="shared" si="4"/>
        <v>1788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33</v>
      </c>
      <c r="L39" s="251">
        <v>260</v>
      </c>
      <c r="M39" s="252"/>
      <c r="N39" s="256">
        <f t="shared" si="2"/>
        <v>293</v>
      </c>
      <c r="O39" s="213"/>
      <c r="P39" s="214"/>
      <c r="Q39" s="187">
        <f t="shared" si="3"/>
        <v>293</v>
      </c>
      <c r="R39" s="183">
        <f t="shared" si="4"/>
        <v>293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33</v>
      </c>
      <c r="L40" s="251">
        <v>260</v>
      </c>
      <c r="M40" s="252"/>
      <c r="N40" s="256">
        <f t="shared" si="2"/>
        <v>293</v>
      </c>
      <c r="O40" s="213"/>
      <c r="P40" s="214"/>
      <c r="Q40" s="187">
        <f t="shared" si="3"/>
        <v>293</v>
      </c>
      <c r="R40" s="183">
        <f t="shared" si="4"/>
        <v>293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33</v>
      </c>
      <c r="L41" s="251">
        <f>7+1428</f>
        <v>1435</v>
      </c>
      <c r="M41" s="252"/>
      <c r="N41" s="256">
        <f t="shared" si="2"/>
        <v>1468</v>
      </c>
      <c r="O41" s="213"/>
      <c r="P41" s="214"/>
      <c r="Q41" s="187">
        <f t="shared" si="3"/>
        <v>1468</v>
      </c>
      <c r="R41" s="183">
        <f t="shared" si="4"/>
        <v>1468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33</v>
      </c>
      <c r="L42" s="251">
        <f>7+1345</f>
        <v>1352</v>
      </c>
      <c r="M42" s="252"/>
      <c r="N42" s="256">
        <f t="shared" si="2"/>
        <v>1385</v>
      </c>
      <c r="O42" s="213"/>
      <c r="P42" s="214"/>
      <c r="Q42" s="187">
        <f t="shared" si="3"/>
        <v>1385</v>
      </c>
      <c r="R42" s="183">
        <f t="shared" si="4"/>
        <v>1385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33</v>
      </c>
      <c r="L43" s="251">
        <f>7+1448</f>
        <v>1455</v>
      </c>
      <c r="M43" s="252"/>
      <c r="N43" s="256">
        <f t="shared" si="2"/>
        <v>1488</v>
      </c>
      <c r="O43" s="213"/>
      <c r="P43" s="214"/>
      <c r="Q43" s="187">
        <f t="shared" si="3"/>
        <v>1488</v>
      </c>
      <c r="R43" s="183">
        <f t="shared" si="4"/>
        <v>1488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33</v>
      </c>
      <c r="L44" s="251">
        <f>7+1455</f>
        <v>1462</v>
      </c>
      <c r="M44" s="252"/>
      <c r="N44" s="256">
        <f t="shared" si="2"/>
        <v>1495</v>
      </c>
      <c r="O44" s="213"/>
      <c r="P44" s="214"/>
      <c r="Q44" s="187">
        <f t="shared" si="3"/>
        <v>1495</v>
      </c>
      <c r="R44" s="183">
        <f t="shared" si="4"/>
        <v>1495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33</v>
      </c>
      <c r="L45" s="251">
        <f>7+1525</f>
        <v>1532</v>
      </c>
      <c r="M45" s="252"/>
      <c r="N45" s="256">
        <f t="shared" si="2"/>
        <v>1565</v>
      </c>
      <c r="O45" s="213"/>
      <c r="P45" s="214"/>
      <c r="Q45" s="187">
        <f t="shared" si="3"/>
        <v>1565</v>
      </c>
      <c r="R45" s="183">
        <f t="shared" si="4"/>
        <v>1565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792</v>
      </c>
      <c r="L48" s="259">
        <f t="shared" si="5"/>
        <v>31262</v>
      </c>
      <c r="M48" s="260">
        <f t="shared" si="5"/>
        <v>400</v>
      </c>
      <c r="N48" s="258">
        <f>SUM(N16:N46)</f>
        <v>32454</v>
      </c>
      <c r="O48" s="195">
        <f t="shared" si="5"/>
        <v>0</v>
      </c>
      <c r="P48" s="195">
        <f t="shared" si="5"/>
        <v>0</v>
      </c>
      <c r="Q48" s="194">
        <f>SUM(Q16:Q46)</f>
        <v>32454</v>
      </c>
      <c r="R48" s="185">
        <f>SUM(R16:R46)</f>
        <v>32454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32454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5" zoomScale="70" zoomScaleNormal="70" workbookViewId="0">
      <pane xSplit="1" topLeftCell="B1" activePane="topRight" state="frozen"/>
      <selection activeCell="R13" sqref="R13"/>
      <selection pane="topRight"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>
        <v>2022</v>
      </c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7</v>
      </c>
      <c r="L16" s="251">
        <f>10+25+30+27+8+693</f>
        <v>793</v>
      </c>
      <c r="M16" s="252"/>
      <c r="N16" s="256">
        <f>+K16+L16+M16</f>
        <v>800</v>
      </c>
      <c r="O16" s="235"/>
      <c r="P16" s="234"/>
      <c r="Q16" s="187">
        <f>+P16+O16+N16</f>
        <v>800</v>
      </c>
      <c r="R16" s="183">
        <f>+Q16+J16+F16</f>
        <v>800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7</v>
      </c>
      <c r="L17" s="251">
        <f>10+30+25+8+80+27+713</f>
        <v>893</v>
      </c>
      <c r="M17" s="252"/>
      <c r="N17" s="256">
        <f t="shared" ref="N17:N46" si="2">+K17+L17+M17</f>
        <v>900</v>
      </c>
      <c r="O17" s="213"/>
      <c r="P17" s="214"/>
      <c r="Q17" s="187">
        <f t="shared" ref="Q17:Q46" si="3">+P17+O17+N17</f>
        <v>900</v>
      </c>
      <c r="R17" s="183">
        <f t="shared" ref="R17:R46" si="4">+Q17+J17+F17</f>
        <v>900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7</v>
      </c>
      <c r="L20" s="251">
        <f>10+25+30+27+8+683</f>
        <v>783</v>
      </c>
      <c r="M20" s="252"/>
      <c r="N20" s="256">
        <f t="shared" si="2"/>
        <v>790</v>
      </c>
      <c r="O20" s="213"/>
      <c r="P20" s="214"/>
      <c r="Q20" s="187">
        <f t="shared" si="3"/>
        <v>790</v>
      </c>
      <c r="R20" s="183">
        <f t="shared" si="4"/>
        <v>790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7</v>
      </c>
      <c r="L21" s="251">
        <f>10+25+30+27+8+693</f>
        <v>793</v>
      </c>
      <c r="M21" s="252"/>
      <c r="N21" s="256">
        <f t="shared" si="2"/>
        <v>800</v>
      </c>
      <c r="O21" s="213"/>
      <c r="P21" s="214"/>
      <c r="Q21" s="187">
        <f t="shared" si="3"/>
        <v>800</v>
      </c>
      <c r="R21" s="183">
        <f t="shared" si="4"/>
        <v>800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8</v>
      </c>
      <c r="L22" s="251">
        <f>10+25+30+8+27+692</f>
        <v>792</v>
      </c>
      <c r="M22" s="252"/>
      <c r="N22" s="256">
        <f t="shared" si="2"/>
        <v>800</v>
      </c>
      <c r="O22" s="213"/>
      <c r="P22" s="214"/>
      <c r="Q22" s="187">
        <f t="shared" si="3"/>
        <v>800</v>
      </c>
      <c r="R22" s="183">
        <f t="shared" si="4"/>
        <v>800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8</v>
      </c>
      <c r="L23" s="251">
        <f>10+25+30+27+8+707</f>
        <v>807</v>
      </c>
      <c r="M23" s="252"/>
      <c r="N23" s="256">
        <f t="shared" si="2"/>
        <v>815</v>
      </c>
      <c r="O23" s="213"/>
      <c r="P23" s="214"/>
      <c r="Q23" s="187">
        <f t="shared" si="3"/>
        <v>815</v>
      </c>
      <c r="R23" s="183">
        <f t="shared" si="4"/>
        <v>815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8</v>
      </c>
      <c r="L24" s="251">
        <f>10+25+30+27+8+702</f>
        <v>802</v>
      </c>
      <c r="M24" s="252"/>
      <c r="N24" s="256">
        <f t="shared" si="2"/>
        <v>810</v>
      </c>
      <c r="O24" s="213"/>
      <c r="P24" s="214"/>
      <c r="Q24" s="187">
        <f t="shared" si="3"/>
        <v>810</v>
      </c>
      <c r="R24" s="183">
        <f t="shared" si="4"/>
        <v>810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8</v>
      </c>
      <c r="L27" s="251">
        <f>10+25+30+27+8+692</f>
        <v>792</v>
      </c>
      <c r="M27" s="252"/>
      <c r="N27" s="256">
        <f t="shared" si="2"/>
        <v>800</v>
      </c>
      <c r="O27" s="213"/>
      <c r="P27" s="214"/>
      <c r="Q27" s="187">
        <f t="shared" si="3"/>
        <v>800</v>
      </c>
      <c r="R27" s="183">
        <f t="shared" si="4"/>
        <v>800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8</v>
      </c>
      <c r="L28" s="251">
        <f>10+25+30+27+20+8+692</f>
        <v>812</v>
      </c>
      <c r="M28" s="252"/>
      <c r="N28" s="256">
        <f t="shared" si="2"/>
        <v>820</v>
      </c>
      <c r="O28" s="213"/>
      <c r="P28" s="214"/>
      <c r="Q28" s="187">
        <f t="shared" si="3"/>
        <v>820</v>
      </c>
      <c r="R28" s="183">
        <f t="shared" si="4"/>
        <v>820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8</v>
      </c>
      <c r="L29" s="251">
        <f>10+25+30+27+8+20+732</f>
        <v>852</v>
      </c>
      <c r="M29" s="252"/>
      <c r="N29" s="256">
        <f t="shared" si="2"/>
        <v>860</v>
      </c>
      <c r="O29" s="213"/>
      <c r="P29" s="214"/>
      <c r="Q29" s="187">
        <f t="shared" si="3"/>
        <v>860</v>
      </c>
      <c r="R29" s="183">
        <f t="shared" si="4"/>
        <v>860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8</v>
      </c>
      <c r="L30" s="251">
        <f>10+25+30+27+20+60+8+722</f>
        <v>902</v>
      </c>
      <c r="M30" s="252"/>
      <c r="N30" s="256">
        <f t="shared" si="2"/>
        <v>910</v>
      </c>
      <c r="O30" s="213"/>
      <c r="P30" s="214"/>
      <c r="Q30" s="187">
        <f t="shared" si="3"/>
        <v>910</v>
      </c>
      <c r="R30" s="183">
        <f t="shared" si="4"/>
        <v>910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8</v>
      </c>
      <c r="L31" s="251">
        <f>10+25+30+27+8+20+40+782</f>
        <v>942</v>
      </c>
      <c r="M31" s="252"/>
      <c r="N31" s="256">
        <f t="shared" si="2"/>
        <v>950</v>
      </c>
      <c r="O31" s="213"/>
      <c r="P31" s="214"/>
      <c r="Q31" s="187">
        <f t="shared" si="3"/>
        <v>950</v>
      </c>
      <c r="R31" s="183">
        <f t="shared" si="4"/>
        <v>950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</v>
      </c>
      <c r="L34" s="251">
        <f>10+33+39+8+50+15+777+27</f>
        <v>959</v>
      </c>
      <c r="M34" s="252"/>
      <c r="N34" s="256">
        <f t="shared" si="2"/>
        <v>967</v>
      </c>
      <c r="O34" s="213"/>
      <c r="P34" s="214"/>
      <c r="Q34" s="187">
        <f t="shared" si="3"/>
        <v>967</v>
      </c>
      <c r="R34" s="183">
        <f t="shared" si="4"/>
        <v>967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8</v>
      </c>
      <c r="L35" s="251">
        <f>18+25+30+27+130+20+8+622</f>
        <v>880</v>
      </c>
      <c r="M35" s="252"/>
      <c r="N35" s="256">
        <f t="shared" si="2"/>
        <v>888</v>
      </c>
      <c r="O35" s="213"/>
      <c r="P35" s="214"/>
      <c r="Q35" s="187">
        <f t="shared" si="3"/>
        <v>888</v>
      </c>
      <c r="R35" s="183">
        <f t="shared" si="4"/>
        <v>888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8</v>
      </c>
      <c r="L36" s="251">
        <f>10+25+39+8+27+20+15+657</f>
        <v>801</v>
      </c>
      <c r="M36" s="252"/>
      <c r="N36" s="256">
        <f t="shared" si="2"/>
        <v>809</v>
      </c>
      <c r="O36" s="213"/>
      <c r="P36" s="214"/>
      <c r="Q36" s="187">
        <f t="shared" si="3"/>
        <v>809</v>
      </c>
      <c r="R36" s="183">
        <f t="shared" si="4"/>
        <v>809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7</v>
      </c>
      <c r="L37" s="251">
        <f>10+25+30+20+65+758</f>
        <v>908</v>
      </c>
      <c r="M37" s="252"/>
      <c r="N37" s="256">
        <f t="shared" si="2"/>
        <v>915</v>
      </c>
      <c r="O37" s="213"/>
      <c r="P37" s="214"/>
      <c r="Q37" s="187">
        <f t="shared" si="3"/>
        <v>915</v>
      </c>
      <c r="R37" s="183">
        <f t="shared" si="4"/>
        <v>915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8</v>
      </c>
      <c r="L38" s="251">
        <f>10+25+30+20+650+707</f>
        <v>1442</v>
      </c>
      <c r="M38" s="252"/>
      <c r="N38" s="256">
        <f t="shared" si="2"/>
        <v>1450</v>
      </c>
      <c r="O38" s="213"/>
      <c r="P38" s="214"/>
      <c r="Q38" s="187">
        <f t="shared" si="3"/>
        <v>1450</v>
      </c>
      <c r="R38" s="183">
        <f t="shared" si="4"/>
        <v>1450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8</v>
      </c>
      <c r="L39" s="251">
        <f>100+650</f>
        <v>750</v>
      </c>
      <c r="M39" s="252"/>
      <c r="N39" s="256">
        <f t="shared" si="2"/>
        <v>758</v>
      </c>
      <c r="O39" s="213"/>
      <c r="P39" s="214"/>
      <c r="Q39" s="187">
        <f t="shared" si="3"/>
        <v>758</v>
      </c>
      <c r="R39" s="183">
        <f t="shared" si="4"/>
        <v>758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8</v>
      </c>
      <c r="L41" s="251">
        <f>10+25+30+27+20+680</f>
        <v>792</v>
      </c>
      <c r="M41" s="252"/>
      <c r="N41" s="256">
        <f t="shared" si="2"/>
        <v>800</v>
      </c>
      <c r="O41" s="213"/>
      <c r="P41" s="214"/>
      <c r="Q41" s="187">
        <f t="shared" si="3"/>
        <v>800</v>
      </c>
      <c r="R41" s="183">
        <f t="shared" si="4"/>
        <v>800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8</v>
      </c>
      <c r="L42" s="251">
        <f>10+25+30+27+20+730</f>
        <v>842</v>
      </c>
      <c r="M42" s="252"/>
      <c r="N42" s="256">
        <f t="shared" si="2"/>
        <v>850</v>
      </c>
      <c r="O42" s="213"/>
      <c r="P42" s="214"/>
      <c r="Q42" s="187">
        <f t="shared" si="3"/>
        <v>850</v>
      </c>
      <c r="R42" s="183">
        <f t="shared" si="4"/>
        <v>850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8</v>
      </c>
      <c r="L43" s="251">
        <f>10+25+30+27+20+830</f>
        <v>942</v>
      </c>
      <c r="M43" s="252"/>
      <c r="N43" s="256">
        <f t="shared" si="2"/>
        <v>950</v>
      </c>
      <c r="O43" s="213"/>
      <c r="P43" s="214"/>
      <c r="Q43" s="187">
        <f t="shared" si="3"/>
        <v>950</v>
      </c>
      <c r="R43" s="183">
        <f t="shared" si="4"/>
        <v>950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8</v>
      </c>
      <c r="L44" s="251">
        <f>10+25+30+27+20+780</f>
        <v>892</v>
      </c>
      <c r="M44" s="252"/>
      <c r="N44" s="256">
        <f t="shared" si="2"/>
        <v>900</v>
      </c>
      <c r="O44" s="213"/>
      <c r="P44" s="214"/>
      <c r="Q44" s="187">
        <f t="shared" si="3"/>
        <v>900</v>
      </c>
      <c r="R44" s="183">
        <f t="shared" si="4"/>
        <v>900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8</v>
      </c>
      <c r="L45" s="251">
        <f>10+25+30+27+20+755</f>
        <v>867</v>
      </c>
      <c r="M45" s="252"/>
      <c r="N45" s="256">
        <f t="shared" si="2"/>
        <v>875</v>
      </c>
      <c r="O45" s="213"/>
      <c r="P45" s="214"/>
      <c r="Q45" s="187">
        <f t="shared" si="3"/>
        <v>875</v>
      </c>
      <c r="R45" s="183">
        <f t="shared" si="4"/>
        <v>875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179</v>
      </c>
      <c r="L48" s="259">
        <f t="shared" si="5"/>
        <v>20038</v>
      </c>
      <c r="M48" s="260">
        <f t="shared" si="5"/>
        <v>0</v>
      </c>
      <c r="N48" s="258">
        <f>SUM(N16:N46)</f>
        <v>20217</v>
      </c>
      <c r="O48" s="195">
        <f t="shared" si="5"/>
        <v>0</v>
      </c>
      <c r="P48" s="195">
        <f t="shared" si="5"/>
        <v>0</v>
      </c>
      <c r="Q48" s="194">
        <f>SUM(Q16:Q46)</f>
        <v>20217</v>
      </c>
      <c r="R48" s="185">
        <f>SUM(R16:R46)</f>
        <v>20217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20217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8"/>
  <sheetViews>
    <sheetView showGridLines="0" topLeftCell="A32" zoomScale="73" zoomScaleNormal="73" workbookViewId="0">
      <pane xSplit="1" topLeftCell="B1" activePane="topRight" state="frozen"/>
      <selection activeCell="R13" sqref="R13"/>
      <selection pane="topRight" activeCell="L20" sqref="L20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17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32</v>
      </c>
      <c r="L16" s="251">
        <f>100+26+35+35+30+1487</f>
        <v>1713</v>
      </c>
      <c r="M16" s="252"/>
      <c r="N16" s="256">
        <f>+K16+L16+M16</f>
        <v>1745</v>
      </c>
      <c r="O16" s="235"/>
      <c r="P16" s="234"/>
      <c r="Q16" s="187">
        <f>+P16+O16+N16</f>
        <v>1745</v>
      </c>
      <c r="R16" s="183">
        <f>+Q16+J16+F16</f>
        <v>1745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32</v>
      </c>
      <c r="L17" s="251">
        <f>100+26+30+35+1467</f>
        <v>1658</v>
      </c>
      <c r="M17" s="252"/>
      <c r="N17" s="256">
        <f t="shared" ref="N17:N46" si="2">+K17+L17+M17</f>
        <v>1690</v>
      </c>
      <c r="O17" s="213"/>
      <c r="P17" s="214"/>
      <c r="Q17" s="187">
        <f t="shared" ref="Q17:Q46" si="3">+P17+O17+N17</f>
        <v>1690</v>
      </c>
      <c r="R17" s="183">
        <f t="shared" ref="R17:R46" si="4">+Q17+J17+F17</f>
        <v>1690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32</v>
      </c>
      <c r="L19" s="251">
        <v>600</v>
      </c>
      <c r="M19" s="252"/>
      <c r="N19" s="256">
        <f t="shared" si="2"/>
        <v>632</v>
      </c>
      <c r="O19" s="213"/>
      <c r="P19" s="214"/>
      <c r="Q19" s="187">
        <f t="shared" si="3"/>
        <v>632</v>
      </c>
      <c r="R19" s="183">
        <f t="shared" si="4"/>
        <v>632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32</v>
      </c>
      <c r="L20" s="251">
        <f>100+15+35+30+26+1307</f>
        <v>1513</v>
      </c>
      <c r="M20" s="252"/>
      <c r="N20" s="256">
        <f t="shared" si="2"/>
        <v>1545</v>
      </c>
      <c r="O20" s="213"/>
      <c r="P20" s="214"/>
      <c r="Q20" s="187">
        <f t="shared" si="3"/>
        <v>1545</v>
      </c>
      <c r="R20" s="183">
        <f t="shared" si="4"/>
        <v>1545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32</v>
      </c>
      <c r="L21" s="251">
        <f>100+26+30+21+1351</f>
        <v>1528</v>
      </c>
      <c r="M21" s="252"/>
      <c r="N21" s="256">
        <f t="shared" si="2"/>
        <v>1560</v>
      </c>
      <c r="O21" s="213"/>
      <c r="P21" s="214"/>
      <c r="Q21" s="187">
        <f t="shared" si="3"/>
        <v>1560</v>
      </c>
      <c r="R21" s="183">
        <f t="shared" si="4"/>
        <v>1560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32</v>
      </c>
      <c r="L22" s="251">
        <f>100+30+26+1457</f>
        <v>1613</v>
      </c>
      <c r="M22" s="252"/>
      <c r="N22" s="256">
        <f t="shared" si="2"/>
        <v>1645</v>
      </c>
      <c r="O22" s="213"/>
      <c r="P22" s="214"/>
      <c r="Q22" s="187">
        <f t="shared" si="3"/>
        <v>1645</v>
      </c>
      <c r="R22" s="183">
        <f t="shared" si="4"/>
        <v>1645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32</v>
      </c>
      <c r="L23" s="251">
        <f>100+40+30+26+1537</f>
        <v>1733</v>
      </c>
      <c r="M23" s="252"/>
      <c r="N23" s="256">
        <f t="shared" si="2"/>
        <v>1765</v>
      </c>
      <c r="O23" s="213"/>
      <c r="P23" s="214"/>
      <c r="Q23" s="187">
        <f t="shared" si="3"/>
        <v>1765</v>
      </c>
      <c r="R23" s="183">
        <f t="shared" si="4"/>
        <v>1765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32</v>
      </c>
      <c r="L24" s="251">
        <f>100+30+26+1602</f>
        <v>1758</v>
      </c>
      <c r="M24" s="252"/>
      <c r="N24" s="256">
        <f t="shared" si="2"/>
        <v>1790</v>
      </c>
      <c r="O24" s="213"/>
      <c r="P24" s="214"/>
      <c r="Q24" s="187">
        <f t="shared" si="3"/>
        <v>1790</v>
      </c>
      <c r="R24" s="183">
        <f t="shared" si="4"/>
        <v>1790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32</v>
      </c>
      <c r="L27" s="251">
        <f>150+100+26+1532</f>
        <v>1808</v>
      </c>
      <c r="M27" s="252"/>
      <c r="N27" s="256">
        <f t="shared" si="2"/>
        <v>1840</v>
      </c>
      <c r="O27" s="213"/>
      <c r="P27" s="214"/>
      <c r="Q27" s="187">
        <f t="shared" si="3"/>
        <v>1840</v>
      </c>
      <c r="R27" s="183">
        <f t="shared" si="4"/>
        <v>1840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32</v>
      </c>
      <c r="L28" s="251">
        <f>100+200+51+26+1521</f>
        <v>1898</v>
      </c>
      <c r="M28" s="252"/>
      <c r="N28" s="256">
        <f t="shared" si="2"/>
        <v>1930</v>
      </c>
      <c r="O28" s="213"/>
      <c r="P28" s="214"/>
      <c r="Q28" s="187">
        <f t="shared" si="3"/>
        <v>1930</v>
      </c>
      <c r="R28" s="183">
        <f t="shared" si="4"/>
        <v>1930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32</v>
      </c>
      <c r="L29" s="251">
        <f>100+24+26+30+1578</f>
        <v>1758</v>
      </c>
      <c r="M29" s="252"/>
      <c r="N29" s="256">
        <f t="shared" si="2"/>
        <v>1790</v>
      </c>
      <c r="O29" s="213"/>
      <c r="P29" s="214"/>
      <c r="Q29" s="187">
        <f t="shared" si="3"/>
        <v>1790</v>
      </c>
      <c r="R29" s="183">
        <f t="shared" si="4"/>
        <v>1790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32</v>
      </c>
      <c r="L30" s="251">
        <f>26+30+100+1138</f>
        <v>1294</v>
      </c>
      <c r="M30" s="252"/>
      <c r="N30" s="256">
        <f t="shared" si="2"/>
        <v>1326</v>
      </c>
      <c r="O30" s="213"/>
      <c r="P30" s="214"/>
      <c r="Q30" s="187">
        <f t="shared" si="3"/>
        <v>1326</v>
      </c>
      <c r="R30" s="183">
        <f t="shared" si="4"/>
        <v>1326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32</v>
      </c>
      <c r="L31" s="251">
        <f>26+30+100+25+1282</f>
        <v>1463</v>
      </c>
      <c r="M31" s="252"/>
      <c r="N31" s="256">
        <f t="shared" si="2"/>
        <v>1495</v>
      </c>
      <c r="O31" s="213"/>
      <c r="P31" s="214"/>
      <c r="Q31" s="187">
        <f t="shared" si="3"/>
        <v>1495</v>
      </c>
      <c r="R31" s="183">
        <f t="shared" si="4"/>
        <v>1495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32</v>
      </c>
      <c r="L34" s="251">
        <f>250+100+260+195+160+100+250+80+40+25</f>
        <v>1460</v>
      </c>
      <c r="M34" s="252"/>
      <c r="N34" s="256">
        <f t="shared" si="2"/>
        <v>1492</v>
      </c>
      <c r="O34" s="213"/>
      <c r="P34" s="214"/>
      <c r="Q34" s="187">
        <f t="shared" si="3"/>
        <v>1492</v>
      </c>
      <c r="R34" s="183">
        <f t="shared" si="4"/>
        <v>1492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32</v>
      </c>
      <c r="L35" s="251">
        <f>1182+100+195+300+143+26+130+150</f>
        <v>2226</v>
      </c>
      <c r="M35" s="252"/>
      <c r="N35" s="256">
        <f t="shared" si="2"/>
        <v>2258</v>
      </c>
      <c r="O35" s="213"/>
      <c r="P35" s="214"/>
      <c r="Q35" s="187">
        <f t="shared" si="3"/>
        <v>2258</v>
      </c>
      <c r="R35" s="183">
        <f t="shared" si="4"/>
        <v>2258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32</v>
      </c>
      <c r="L36" s="251">
        <f>100+26+30+30+50+78+1452</f>
        <v>1766</v>
      </c>
      <c r="M36" s="252"/>
      <c r="N36" s="256">
        <f t="shared" si="2"/>
        <v>1798</v>
      </c>
      <c r="O36" s="213"/>
      <c r="P36" s="214"/>
      <c r="Q36" s="187">
        <f t="shared" si="3"/>
        <v>1798</v>
      </c>
      <c r="R36" s="183">
        <f t="shared" si="4"/>
        <v>1798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32</v>
      </c>
      <c r="L37" s="251">
        <f>100+15+25+50+65+1572</f>
        <v>1827</v>
      </c>
      <c r="M37" s="252"/>
      <c r="N37" s="256">
        <f t="shared" si="2"/>
        <v>1859</v>
      </c>
      <c r="O37" s="213"/>
      <c r="P37" s="214"/>
      <c r="Q37" s="187">
        <f t="shared" si="3"/>
        <v>1859</v>
      </c>
      <c r="R37" s="183">
        <f t="shared" si="4"/>
        <v>1859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32</v>
      </c>
      <c r="L38" s="251">
        <f>100+25+26+39+70+1310</f>
        <v>1570</v>
      </c>
      <c r="M38" s="252"/>
      <c r="N38" s="256">
        <f t="shared" si="2"/>
        <v>1602</v>
      </c>
      <c r="O38" s="213"/>
      <c r="P38" s="214"/>
      <c r="Q38" s="187">
        <f t="shared" si="3"/>
        <v>1602</v>
      </c>
      <c r="R38" s="183">
        <f t="shared" si="4"/>
        <v>1602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32</v>
      </c>
      <c r="L41" s="251">
        <f>100+25+25+26+30+1105</f>
        <v>1311</v>
      </c>
      <c r="M41" s="252"/>
      <c r="N41" s="256">
        <f t="shared" si="2"/>
        <v>1343</v>
      </c>
      <c r="O41" s="213"/>
      <c r="P41" s="214"/>
      <c r="Q41" s="187">
        <f t="shared" si="3"/>
        <v>1343</v>
      </c>
      <c r="R41" s="183">
        <f t="shared" si="4"/>
        <v>1343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32</v>
      </c>
      <c r="L42" s="251">
        <f>100+60+26+30+25+1297</f>
        <v>1538</v>
      </c>
      <c r="M42" s="252"/>
      <c r="N42" s="256">
        <f t="shared" si="2"/>
        <v>1570</v>
      </c>
      <c r="O42" s="213"/>
      <c r="P42" s="214"/>
      <c r="Q42" s="187">
        <f t="shared" si="3"/>
        <v>1570</v>
      </c>
      <c r="R42" s="183">
        <f t="shared" si="4"/>
        <v>1570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32</v>
      </c>
      <c r="L43" s="251">
        <f>100+35+25+30+1263</f>
        <v>1453</v>
      </c>
      <c r="M43" s="252"/>
      <c r="N43" s="256">
        <f t="shared" si="2"/>
        <v>1485</v>
      </c>
      <c r="O43" s="213"/>
      <c r="P43" s="214"/>
      <c r="Q43" s="187">
        <f t="shared" si="3"/>
        <v>1485</v>
      </c>
      <c r="R43" s="183">
        <f t="shared" si="4"/>
        <v>1485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32</v>
      </c>
      <c r="L44" s="251">
        <f>100+20+30+26+50+1242</f>
        <v>1468</v>
      </c>
      <c r="M44" s="252"/>
      <c r="N44" s="256">
        <f t="shared" si="2"/>
        <v>1500</v>
      </c>
      <c r="O44" s="213"/>
      <c r="P44" s="214"/>
      <c r="Q44" s="187">
        <f t="shared" si="3"/>
        <v>1500</v>
      </c>
      <c r="R44" s="183">
        <f t="shared" si="4"/>
        <v>1500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32</v>
      </c>
      <c r="L45" s="251">
        <f>100+26+30+50+1437</f>
        <v>1643</v>
      </c>
      <c r="M45" s="252"/>
      <c r="N45" s="256">
        <f t="shared" si="2"/>
        <v>1675</v>
      </c>
      <c r="O45" s="213"/>
      <c r="P45" s="214"/>
      <c r="Q45" s="187">
        <f t="shared" si="3"/>
        <v>1675</v>
      </c>
      <c r="R45" s="183">
        <f t="shared" si="4"/>
        <v>1675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736</v>
      </c>
      <c r="L48" s="259">
        <f t="shared" si="5"/>
        <v>36599</v>
      </c>
      <c r="M48" s="260">
        <f t="shared" si="5"/>
        <v>0</v>
      </c>
      <c r="N48" s="258">
        <f>SUM(N16:N46)</f>
        <v>37335</v>
      </c>
      <c r="O48" s="195">
        <f t="shared" si="5"/>
        <v>0</v>
      </c>
      <c r="P48" s="195">
        <f t="shared" si="5"/>
        <v>0</v>
      </c>
      <c r="Q48" s="194">
        <f>SUM(Q16:Q46)</f>
        <v>37335</v>
      </c>
      <c r="R48" s="185">
        <f>SUM(R16:R46)</f>
        <v>37335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37335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94488188976377963" right="0.70866141732283472" top="0.74803149606299213" bottom="0.74803149606299213" header="0.31496062992125984" footer="0.31496062992125984"/>
  <pageSetup scale="88" fitToWidth="7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1" zoomScale="70" zoomScaleNormal="70" workbookViewId="0">
      <pane xSplit="1" topLeftCell="B1" activePane="topRight" state="frozen"/>
      <selection activeCell="R13" sqref="R13"/>
      <selection pane="topRight" activeCell="L42" sqref="L42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18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>
        <v>2022</v>
      </c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34</v>
      </c>
      <c r="L16" s="251">
        <f>727+16+35+10+10+12</f>
        <v>810</v>
      </c>
      <c r="M16" s="252"/>
      <c r="N16" s="256">
        <f>+K16+L16+M16</f>
        <v>844</v>
      </c>
      <c r="O16" s="235"/>
      <c r="P16" s="234"/>
      <c r="Q16" s="187">
        <f>+P16+O16+N16</f>
        <v>844</v>
      </c>
      <c r="R16" s="183">
        <f>+Q16+J16+F16</f>
        <v>844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34</v>
      </c>
      <c r="L17" s="251">
        <f>729+16+10+10+12+25</f>
        <v>802</v>
      </c>
      <c r="M17" s="252"/>
      <c r="N17" s="256">
        <f t="shared" ref="N17:N46" si="2">+K17+L17+M17</f>
        <v>836</v>
      </c>
      <c r="O17" s="213"/>
      <c r="P17" s="214"/>
      <c r="Q17" s="187">
        <f t="shared" ref="Q17:Q46" si="3">+P17+O17+N17</f>
        <v>836</v>
      </c>
      <c r="R17" s="183">
        <f t="shared" ref="R17:R46" si="4">+Q17+J17+F17</f>
        <v>836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34</v>
      </c>
      <c r="L20" s="251">
        <f>731+16+10+10+12+35</f>
        <v>814</v>
      </c>
      <c r="M20" s="252"/>
      <c r="N20" s="256">
        <f t="shared" si="2"/>
        <v>848</v>
      </c>
      <c r="O20" s="213"/>
      <c r="P20" s="214"/>
      <c r="Q20" s="187">
        <f t="shared" si="3"/>
        <v>848</v>
      </c>
      <c r="R20" s="183">
        <f t="shared" si="4"/>
        <v>848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34</v>
      </c>
      <c r="L21" s="251">
        <f>722+16+35+12+10+10</f>
        <v>805</v>
      </c>
      <c r="M21" s="252"/>
      <c r="N21" s="256">
        <f t="shared" si="2"/>
        <v>839</v>
      </c>
      <c r="O21" s="213"/>
      <c r="P21" s="214"/>
      <c r="Q21" s="187">
        <f t="shared" si="3"/>
        <v>839</v>
      </c>
      <c r="R21" s="183">
        <f t="shared" si="4"/>
        <v>839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34</v>
      </c>
      <c r="L22" s="251">
        <f>734+16+35+10+12+10</f>
        <v>817</v>
      </c>
      <c r="M22" s="252"/>
      <c r="N22" s="256">
        <f t="shared" si="2"/>
        <v>851</v>
      </c>
      <c r="O22" s="213"/>
      <c r="P22" s="214"/>
      <c r="Q22" s="187">
        <f t="shared" si="3"/>
        <v>851</v>
      </c>
      <c r="R22" s="183">
        <f t="shared" si="4"/>
        <v>851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34</v>
      </c>
      <c r="L23" s="251">
        <f>723+16+35+10+10+12</f>
        <v>806</v>
      </c>
      <c r="M23" s="252"/>
      <c r="N23" s="256">
        <f t="shared" si="2"/>
        <v>840</v>
      </c>
      <c r="O23" s="213"/>
      <c r="P23" s="214"/>
      <c r="Q23" s="187">
        <f t="shared" si="3"/>
        <v>840</v>
      </c>
      <c r="R23" s="183">
        <f t="shared" si="4"/>
        <v>840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34</v>
      </c>
      <c r="L24" s="251">
        <f>749+16+35+10+12+10</f>
        <v>832</v>
      </c>
      <c r="M24" s="252"/>
      <c r="N24" s="256">
        <f t="shared" si="2"/>
        <v>866</v>
      </c>
      <c r="O24" s="213"/>
      <c r="P24" s="214"/>
      <c r="Q24" s="187">
        <f t="shared" si="3"/>
        <v>866</v>
      </c>
      <c r="R24" s="183">
        <f t="shared" si="4"/>
        <v>866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34</v>
      </c>
      <c r="L27" s="251">
        <f>748+16+35+10+12+10</f>
        <v>831</v>
      </c>
      <c r="M27" s="252"/>
      <c r="N27" s="256">
        <f t="shared" si="2"/>
        <v>865</v>
      </c>
      <c r="O27" s="213"/>
      <c r="P27" s="214"/>
      <c r="Q27" s="187">
        <f t="shared" si="3"/>
        <v>865</v>
      </c>
      <c r="R27" s="183">
        <f t="shared" si="4"/>
        <v>865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34</v>
      </c>
      <c r="L28" s="251">
        <f>728+16+10+35+12+10</f>
        <v>811</v>
      </c>
      <c r="M28" s="252"/>
      <c r="N28" s="256">
        <f t="shared" si="2"/>
        <v>845</v>
      </c>
      <c r="O28" s="213"/>
      <c r="P28" s="214"/>
      <c r="Q28" s="187">
        <f t="shared" si="3"/>
        <v>845</v>
      </c>
      <c r="R28" s="183">
        <f t="shared" si="4"/>
        <v>845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34</v>
      </c>
      <c r="L29" s="251">
        <f>735+16+10+35+10+12</f>
        <v>818</v>
      </c>
      <c r="M29" s="252"/>
      <c r="N29" s="256">
        <f t="shared" si="2"/>
        <v>852</v>
      </c>
      <c r="O29" s="213"/>
      <c r="P29" s="214"/>
      <c r="Q29" s="187">
        <f t="shared" si="3"/>
        <v>852</v>
      </c>
      <c r="R29" s="183">
        <f t="shared" si="4"/>
        <v>852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34</v>
      </c>
      <c r="L30" s="251">
        <f>16+10+10+10+761</f>
        <v>807</v>
      </c>
      <c r="M30" s="252"/>
      <c r="N30" s="256">
        <f t="shared" si="2"/>
        <v>841</v>
      </c>
      <c r="O30" s="213"/>
      <c r="P30" s="214"/>
      <c r="Q30" s="187">
        <f t="shared" si="3"/>
        <v>841</v>
      </c>
      <c r="R30" s="183">
        <f t="shared" si="4"/>
        <v>841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34</v>
      </c>
      <c r="L31" s="251">
        <f>16+10+35+12+10+729+10</f>
        <v>822</v>
      </c>
      <c r="M31" s="252"/>
      <c r="N31" s="256">
        <f t="shared" si="2"/>
        <v>856</v>
      </c>
      <c r="O31" s="213"/>
      <c r="P31" s="214"/>
      <c r="Q31" s="187">
        <f t="shared" si="3"/>
        <v>856</v>
      </c>
      <c r="R31" s="183">
        <f t="shared" si="4"/>
        <v>856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34</v>
      </c>
      <c r="L34" s="251">
        <f>26+39+39+39+39+39+39+622</f>
        <v>882</v>
      </c>
      <c r="M34" s="252"/>
      <c r="N34" s="256">
        <f t="shared" si="2"/>
        <v>916</v>
      </c>
      <c r="O34" s="213"/>
      <c r="P34" s="214"/>
      <c r="Q34" s="187">
        <f t="shared" si="3"/>
        <v>916</v>
      </c>
      <c r="R34" s="183">
        <f t="shared" si="4"/>
        <v>916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34</v>
      </c>
      <c r="L35" s="251">
        <f>46+12+10+10+16+754</f>
        <v>848</v>
      </c>
      <c r="M35" s="252"/>
      <c r="N35" s="256">
        <f t="shared" si="2"/>
        <v>882</v>
      </c>
      <c r="O35" s="213"/>
      <c r="P35" s="214"/>
      <c r="Q35" s="187">
        <f t="shared" si="3"/>
        <v>882</v>
      </c>
      <c r="R35" s="183">
        <f t="shared" si="4"/>
        <v>882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34</v>
      </c>
      <c r="L36" s="251">
        <f>16+10+10+12+35+52+741</f>
        <v>876</v>
      </c>
      <c r="M36" s="252"/>
      <c r="N36" s="256">
        <f t="shared" si="2"/>
        <v>910</v>
      </c>
      <c r="O36" s="213"/>
      <c r="P36" s="214"/>
      <c r="Q36" s="187">
        <f t="shared" si="3"/>
        <v>910</v>
      </c>
      <c r="R36" s="183">
        <f t="shared" si="4"/>
        <v>910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34</v>
      </c>
      <c r="L37" s="251">
        <f>16+10+12+10+25+52+723</f>
        <v>848</v>
      </c>
      <c r="M37" s="252"/>
      <c r="N37" s="256">
        <f t="shared" si="2"/>
        <v>882</v>
      </c>
      <c r="O37" s="213"/>
      <c r="P37" s="214"/>
      <c r="Q37" s="187">
        <f t="shared" si="3"/>
        <v>882</v>
      </c>
      <c r="R37" s="183">
        <f t="shared" si="4"/>
        <v>882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34</v>
      </c>
      <c r="L38" s="251">
        <f>16+13+12+10+25+65+725+10+7</f>
        <v>883</v>
      </c>
      <c r="M38" s="252"/>
      <c r="N38" s="256">
        <f t="shared" si="2"/>
        <v>917</v>
      </c>
      <c r="O38" s="213"/>
      <c r="P38" s="214"/>
      <c r="Q38" s="187">
        <f t="shared" si="3"/>
        <v>917</v>
      </c>
      <c r="R38" s="183">
        <f t="shared" si="4"/>
        <v>917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34</v>
      </c>
      <c r="L41" s="251">
        <f>16+10+10+12+35+728</f>
        <v>811</v>
      </c>
      <c r="M41" s="252"/>
      <c r="N41" s="256">
        <f t="shared" si="2"/>
        <v>845</v>
      </c>
      <c r="O41" s="213"/>
      <c r="P41" s="214"/>
      <c r="Q41" s="187">
        <f t="shared" si="3"/>
        <v>845</v>
      </c>
      <c r="R41" s="183">
        <f t="shared" si="4"/>
        <v>845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34</v>
      </c>
      <c r="L42" s="251">
        <f>16+10+10+12+35+732</f>
        <v>815</v>
      </c>
      <c r="M42" s="252"/>
      <c r="N42" s="256">
        <f t="shared" si="2"/>
        <v>849</v>
      </c>
      <c r="O42" s="213"/>
      <c r="P42" s="214"/>
      <c r="Q42" s="187">
        <f t="shared" si="3"/>
        <v>849</v>
      </c>
      <c r="R42" s="183">
        <f t="shared" si="4"/>
        <v>849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34</v>
      </c>
      <c r="L43" s="251">
        <f>16+10+10+12+35+744</f>
        <v>827</v>
      </c>
      <c r="M43" s="252"/>
      <c r="N43" s="256">
        <f t="shared" si="2"/>
        <v>861</v>
      </c>
      <c r="O43" s="213"/>
      <c r="P43" s="214"/>
      <c r="Q43" s="187">
        <f t="shared" si="3"/>
        <v>861</v>
      </c>
      <c r="R43" s="183">
        <f t="shared" si="4"/>
        <v>861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34</v>
      </c>
      <c r="L44" s="251">
        <f>16+12+10+35+10+486</f>
        <v>569</v>
      </c>
      <c r="M44" s="252"/>
      <c r="N44" s="256">
        <f t="shared" si="2"/>
        <v>603</v>
      </c>
      <c r="O44" s="213"/>
      <c r="P44" s="214"/>
      <c r="Q44" s="187">
        <f t="shared" si="3"/>
        <v>603</v>
      </c>
      <c r="R44" s="183">
        <f t="shared" si="4"/>
        <v>603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34</v>
      </c>
      <c r="L45" s="251">
        <f>16+12+35+10+10+738</f>
        <v>821</v>
      </c>
      <c r="M45" s="252"/>
      <c r="N45" s="256">
        <f t="shared" si="2"/>
        <v>855</v>
      </c>
      <c r="O45" s="213"/>
      <c r="P45" s="214"/>
      <c r="Q45" s="187">
        <f t="shared" si="3"/>
        <v>855</v>
      </c>
      <c r="R45" s="183">
        <f t="shared" si="4"/>
        <v>855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748</v>
      </c>
      <c r="L48" s="259">
        <f t="shared" si="5"/>
        <v>17955</v>
      </c>
      <c r="M48" s="260">
        <f t="shared" si="5"/>
        <v>0</v>
      </c>
      <c r="N48" s="258">
        <f>SUM(N16:N46)</f>
        <v>18703</v>
      </c>
      <c r="O48" s="195">
        <f t="shared" si="5"/>
        <v>0</v>
      </c>
      <c r="P48" s="195">
        <f t="shared" si="5"/>
        <v>0</v>
      </c>
      <c r="Q48" s="194">
        <f>SUM(Q16:Q46)</f>
        <v>18703</v>
      </c>
      <c r="R48" s="185">
        <f>SUM(R16:R46)</f>
        <v>18703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18703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5" zoomScale="66" zoomScaleNormal="66" workbookViewId="0">
      <pane xSplit="1" topLeftCell="B1" activePane="topRight" state="frozen"/>
      <selection activeCell="R13" sqref="R13"/>
      <selection pane="topRight" activeCell="M36" sqref="M3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70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213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37"/>
      <c r="D16" s="208"/>
      <c r="E16" s="209"/>
      <c r="F16" s="177">
        <f>+D16+E16</f>
        <v>0</v>
      </c>
      <c r="G16" s="210"/>
      <c r="H16" s="211">
        <v>225</v>
      </c>
      <c r="I16" s="212"/>
      <c r="J16" s="176">
        <f>+G16+H16+I16</f>
        <v>225</v>
      </c>
      <c r="K16" s="250">
        <v>14</v>
      </c>
      <c r="L16" s="251">
        <f>782+400+30+30+10+10+10+15+15+8+80</f>
        <v>1390</v>
      </c>
      <c r="M16" s="252"/>
      <c r="N16" s="256">
        <f>+K16+L16+M16</f>
        <v>1404</v>
      </c>
      <c r="O16" s="235"/>
      <c r="P16" s="234"/>
      <c r="Q16" s="187">
        <f>+P16+O16+N16</f>
        <v>1404</v>
      </c>
      <c r="R16" s="183">
        <f>+Q16+J16+F16</f>
        <v>1629</v>
      </c>
      <c r="S16" s="215"/>
      <c r="T16" s="215"/>
    </row>
    <row r="17" spans="2:20" ht="15" customHeight="1" thickBot="1" x14ac:dyDescent="0.35">
      <c r="B17" s="26">
        <v>2</v>
      </c>
      <c r="C17" s="238"/>
      <c r="D17" s="217"/>
      <c r="E17" s="218"/>
      <c r="F17" s="177">
        <f t="shared" ref="F17:F46" si="0">+D17+E17</f>
        <v>0</v>
      </c>
      <c r="G17" s="210"/>
      <c r="H17" s="211">
        <v>225</v>
      </c>
      <c r="I17" s="212"/>
      <c r="J17" s="176">
        <f t="shared" ref="J17:J46" si="1">+G17+H17+I17</f>
        <v>225</v>
      </c>
      <c r="K17" s="250">
        <v>14</v>
      </c>
      <c r="L17" s="251">
        <f>945+400+30+30+10+10+15+15+80</f>
        <v>1535</v>
      </c>
      <c r="M17" s="252"/>
      <c r="N17" s="256">
        <f t="shared" ref="N17:N46" si="2">+K17+L17+M17</f>
        <v>1549</v>
      </c>
      <c r="O17" s="213"/>
      <c r="P17" s="214"/>
      <c r="Q17" s="187">
        <f t="shared" ref="Q17:Q46" si="3">+P17+O17+N17</f>
        <v>1549</v>
      </c>
      <c r="R17" s="183">
        <f t="shared" ref="R17:R46" si="4">+Q17+J17+F17</f>
        <v>1774</v>
      </c>
      <c r="S17" s="215"/>
      <c r="T17" s="215"/>
    </row>
    <row r="18" spans="2:20" ht="15" customHeight="1" thickBot="1" x14ac:dyDescent="0.35">
      <c r="B18" s="26">
        <v>3</v>
      </c>
      <c r="C18" s="238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38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13</v>
      </c>
      <c r="L19" s="251">
        <v>200</v>
      </c>
      <c r="M19" s="252"/>
      <c r="N19" s="256">
        <f t="shared" si="2"/>
        <v>213</v>
      </c>
      <c r="O19" s="213"/>
      <c r="P19" s="214"/>
      <c r="Q19" s="187">
        <f t="shared" si="3"/>
        <v>213</v>
      </c>
      <c r="R19" s="183">
        <f t="shared" si="4"/>
        <v>213</v>
      </c>
      <c r="S19" s="215"/>
      <c r="T19" s="215"/>
    </row>
    <row r="20" spans="2:20" ht="15" customHeight="1" thickBot="1" x14ac:dyDescent="0.35">
      <c r="B20" s="26">
        <v>5</v>
      </c>
      <c r="C20" s="238"/>
      <c r="D20" s="217"/>
      <c r="E20" s="218"/>
      <c r="F20" s="177">
        <f t="shared" si="0"/>
        <v>0</v>
      </c>
      <c r="G20" s="210"/>
      <c r="H20" s="211">
        <v>225</v>
      </c>
      <c r="I20" s="212"/>
      <c r="J20" s="176">
        <f t="shared" si="1"/>
        <v>225</v>
      </c>
      <c r="K20" s="250">
        <v>14</v>
      </c>
      <c r="L20" s="251">
        <f>715+400+30+30+10+15+15+80</f>
        <v>1295</v>
      </c>
      <c r="M20" s="252"/>
      <c r="N20" s="256">
        <f t="shared" si="2"/>
        <v>1309</v>
      </c>
      <c r="O20" s="213"/>
      <c r="P20" s="214"/>
      <c r="Q20" s="187">
        <f t="shared" si="3"/>
        <v>1309</v>
      </c>
      <c r="R20" s="183">
        <f t="shared" si="4"/>
        <v>1534</v>
      </c>
      <c r="S20" s="215"/>
      <c r="T20" s="215"/>
    </row>
    <row r="21" spans="2:20" ht="15" customHeight="1" thickBot="1" x14ac:dyDescent="0.35">
      <c r="B21" s="28">
        <v>6</v>
      </c>
      <c r="C21" s="239"/>
      <c r="D21" s="217"/>
      <c r="E21" s="218"/>
      <c r="F21" s="177">
        <f t="shared" si="0"/>
        <v>0</v>
      </c>
      <c r="G21" s="210"/>
      <c r="H21" s="211">
        <v>225</v>
      </c>
      <c r="I21" s="212"/>
      <c r="J21" s="176">
        <f t="shared" si="1"/>
        <v>225</v>
      </c>
      <c r="K21" s="250">
        <v>13</v>
      </c>
      <c r="L21" s="251">
        <f>715+400+30+30+10+10+10+15+15+8+80</f>
        <v>1323</v>
      </c>
      <c r="M21" s="252"/>
      <c r="N21" s="256">
        <f t="shared" si="2"/>
        <v>1336</v>
      </c>
      <c r="O21" s="213"/>
      <c r="P21" s="214"/>
      <c r="Q21" s="187">
        <f t="shared" si="3"/>
        <v>1336</v>
      </c>
      <c r="R21" s="183">
        <f t="shared" si="4"/>
        <v>1561</v>
      </c>
      <c r="S21" s="215"/>
      <c r="T21" s="215"/>
    </row>
    <row r="22" spans="2:20" ht="15" customHeight="1" thickBot="1" x14ac:dyDescent="0.35">
      <c r="B22" s="26">
        <v>7</v>
      </c>
      <c r="C22" s="238"/>
      <c r="D22" s="217"/>
      <c r="E22" s="218"/>
      <c r="F22" s="177">
        <f t="shared" si="0"/>
        <v>0</v>
      </c>
      <c r="G22" s="210"/>
      <c r="H22" s="211">
        <v>225</v>
      </c>
      <c r="I22" s="212"/>
      <c r="J22" s="176">
        <f t="shared" si="1"/>
        <v>225</v>
      </c>
      <c r="K22" s="250">
        <v>14</v>
      </c>
      <c r="L22" s="251">
        <f>717+400+30+30+10+15+15+8+80</f>
        <v>1305</v>
      </c>
      <c r="M22" s="252"/>
      <c r="N22" s="256">
        <f t="shared" si="2"/>
        <v>1319</v>
      </c>
      <c r="O22" s="213"/>
      <c r="P22" s="214"/>
      <c r="Q22" s="187">
        <f t="shared" si="3"/>
        <v>1319</v>
      </c>
      <c r="R22" s="183">
        <f t="shared" si="4"/>
        <v>1544</v>
      </c>
      <c r="S22" s="215"/>
      <c r="T22" s="215"/>
    </row>
    <row r="23" spans="2:20" ht="15" customHeight="1" thickBot="1" x14ac:dyDescent="0.35">
      <c r="B23" s="26">
        <v>8</v>
      </c>
      <c r="C23" s="238"/>
      <c r="D23" s="217"/>
      <c r="E23" s="218"/>
      <c r="F23" s="177">
        <f t="shared" si="0"/>
        <v>0</v>
      </c>
      <c r="G23" s="210"/>
      <c r="H23" s="211">
        <v>225</v>
      </c>
      <c r="I23" s="212"/>
      <c r="J23" s="176">
        <f t="shared" si="1"/>
        <v>225</v>
      </c>
      <c r="K23" s="250">
        <v>14</v>
      </c>
      <c r="L23" s="251">
        <f>797+400+30+30+10+10+10+15+15+8+80</f>
        <v>1405</v>
      </c>
      <c r="M23" s="252"/>
      <c r="N23" s="256">
        <f t="shared" si="2"/>
        <v>1419</v>
      </c>
      <c r="O23" s="213"/>
      <c r="P23" s="214"/>
      <c r="Q23" s="187">
        <f t="shared" si="3"/>
        <v>1419</v>
      </c>
      <c r="R23" s="183">
        <f t="shared" si="4"/>
        <v>1644</v>
      </c>
      <c r="S23" s="215"/>
      <c r="T23" s="215"/>
    </row>
    <row r="24" spans="2:20" ht="15" customHeight="1" thickBot="1" x14ac:dyDescent="0.35">
      <c r="B24" s="26">
        <v>9</v>
      </c>
      <c r="C24" s="238"/>
      <c r="D24" s="217"/>
      <c r="E24" s="218"/>
      <c r="F24" s="177">
        <f t="shared" si="0"/>
        <v>0</v>
      </c>
      <c r="G24" s="210"/>
      <c r="H24" s="211">
        <v>225</v>
      </c>
      <c r="I24" s="212"/>
      <c r="J24" s="176">
        <f t="shared" si="1"/>
        <v>225</v>
      </c>
      <c r="K24" s="250">
        <v>14</v>
      </c>
      <c r="L24" s="251">
        <f>761+400+30+30+10+10+15+15+8+80</f>
        <v>1359</v>
      </c>
      <c r="M24" s="252"/>
      <c r="N24" s="256">
        <f t="shared" si="2"/>
        <v>1373</v>
      </c>
      <c r="O24" s="213"/>
      <c r="P24" s="214"/>
      <c r="Q24" s="187">
        <f t="shared" si="3"/>
        <v>1373</v>
      </c>
      <c r="R24" s="183">
        <f t="shared" si="4"/>
        <v>1598</v>
      </c>
      <c r="S24" s="215"/>
      <c r="T24" s="215"/>
    </row>
    <row r="25" spans="2:20" ht="15" customHeight="1" thickBot="1" x14ac:dyDescent="0.35">
      <c r="B25" s="26">
        <v>10</v>
      </c>
      <c r="C25" s="238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38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38"/>
      <c r="D27" s="217"/>
      <c r="E27" s="218"/>
      <c r="F27" s="177">
        <f t="shared" si="0"/>
        <v>0</v>
      </c>
      <c r="G27" s="210"/>
      <c r="H27" s="211">
        <v>225</v>
      </c>
      <c r="I27" s="212"/>
      <c r="J27" s="176">
        <f t="shared" si="1"/>
        <v>225</v>
      </c>
      <c r="K27" s="250">
        <v>14</v>
      </c>
      <c r="L27" s="251">
        <f>743+400+30+30+10+10+15+15+8+80</f>
        <v>1341</v>
      </c>
      <c r="M27" s="252"/>
      <c r="N27" s="256">
        <f t="shared" si="2"/>
        <v>1355</v>
      </c>
      <c r="O27" s="213"/>
      <c r="P27" s="214"/>
      <c r="Q27" s="187">
        <f t="shared" si="3"/>
        <v>1355</v>
      </c>
      <c r="R27" s="183">
        <f t="shared" si="4"/>
        <v>1580</v>
      </c>
      <c r="S27" s="215"/>
      <c r="T27" s="215"/>
    </row>
    <row r="28" spans="2:20" ht="15" customHeight="1" thickBot="1" x14ac:dyDescent="0.35">
      <c r="B28" s="26">
        <v>13</v>
      </c>
      <c r="C28" s="238"/>
      <c r="D28" s="217"/>
      <c r="E28" s="218"/>
      <c r="F28" s="177">
        <f t="shared" si="0"/>
        <v>0</v>
      </c>
      <c r="G28" s="210"/>
      <c r="H28" s="211">
        <v>225</v>
      </c>
      <c r="I28" s="212"/>
      <c r="J28" s="176">
        <f t="shared" si="1"/>
        <v>225</v>
      </c>
      <c r="K28" s="250">
        <v>14</v>
      </c>
      <c r="L28" s="251">
        <f>796+400+30+30+10+10+10+15+15+8+80</f>
        <v>1404</v>
      </c>
      <c r="M28" s="252"/>
      <c r="N28" s="256">
        <f t="shared" si="2"/>
        <v>1418</v>
      </c>
      <c r="O28" s="213"/>
      <c r="P28" s="214"/>
      <c r="Q28" s="187">
        <f t="shared" si="3"/>
        <v>1418</v>
      </c>
      <c r="R28" s="183">
        <f t="shared" si="4"/>
        <v>1643</v>
      </c>
      <c r="S28" s="215"/>
      <c r="T28" s="215"/>
    </row>
    <row r="29" spans="2:20" ht="15" customHeight="1" thickBot="1" x14ac:dyDescent="0.35">
      <c r="B29" s="26">
        <v>14</v>
      </c>
      <c r="C29" s="238"/>
      <c r="D29" s="217"/>
      <c r="E29" s="218"/>
      <c r="F29" s="177">
        <f t="shared" si="0"/>
        <v>0</v>
      </c>
      <c r="G29" s="210"/>
      <c r="H29" s="211">
        <v>225</v>
      </c>
      <c r="I29" s="212"/>
      <c r="J29" s="176">
        <f t="shared" si="1"/>
        <v>225</v>
      </c>
      <c r="K29" s="250">
        <v>14</v>
      </c>
      <c r="L29" s="251">
        <f>858+400+30+30+10+10+15+15+8+80</f>
        <v>1456</v>
      </c>
      <c r="M29" s="252"/>
      <c r="N29" s="256">
        <f t="shared" si="2"/>
        <v>1470</v>
      </c>
      <c r="O29" s="213"/>
      <c r="P29" s="214"/>
      <c r="Q29" s="187">
        <f t="shared" si="3"/>
        <v>1470</v>
      </c>
      <c r="R29" s="183">
        <f t="shared" si="4"/>
        <v>1695</v>
      </c>
      <c r="S29" s="215"/>
      <c r="T29" s="215"/>
    </row>
    <row r="30" spans="2:20" ht="15" customHeight="1" thickBot="1" x14ac:dyDescent="0.35">
      <c r="B30" s="26">
        <v>15</v>
      </c>
      <c r="C30" s="238"/>
      <c r="D30" s="217"/>
      <c r="E30" s="218"/>
      <c r="F30" s="177">
        <f t="shared" si="0"/>
        <v>0</v>
      </c>
      <c r="G30" s="210"/>
      <c r="H30" s="211">
        <v>225</v>
      </c>
      <c r="I30" s="212"/>
      <c r="J30" s="176">
        <f t="shared" si="1"/>
        <v>225</v>
      </c>
      <c r="K30" s="250">
        <v>14</v>
      </c>
      <c r="L30" s="251">
        <f>934+400+30+30+10+10+15+15+80</f>
        <v>1524</v>
      </c>
      <c r="M30" s="252"/>
      <c r="N30" s="256">
        <f t="shared" si="2"/>
        <v>1538</v>
      </c>
      <c r="O30" s="213"/>
      <c r="P30" s="214"/>
      <c r="Q30" s="187">
        <f t="shared" si="3"/>
        <v>1538</v>
      </c>
      <c r="R30" s="183">
        <f t="shared" si="4"/>
        <v>1763</v>
      </c>
      <c r="S30" s="215"/>
      <c r="T30" s="215"/>
    </row>
    <row r="31" spans="2:20" ht="15" customHeight="1" thickBot="1" x14ac:dyDescent="0.35">
      <c r="B31" s="26">
        <v>16</v>
      </c>
      <c r="C31" s="238"/>
      <c r="D31" s="217"/>
      <c r="E31" s="218"/>
      <c r="F31" s="177">
        <f t="shared" si="0"/>
        <v>0</v>
      </c>
      <c r="G31" s="210"/>
      <c r="H31" s="211">
        <v>225</v>
      </c>
      <c r="I31" s="212"/>
      <c r="J31" s="176">
        <f t="shared" si="1"/>
        <v>225</v>
      </c>
      <c r="K31" s="250">
        <v>14</v>
      </c>
      <c r="L31" s="251">
        <f>926+400+30+30+10+10+15+15+8+80</f>
        <v>1524</v>
      </c>
      <c r="M31" s="252"/>
      <c r="N31" s="256">
        <f t="shared" si="2"/>
        <v>1538</v>
      </c>
      <c r="O31" s="213"/>
      <c r="P31" s="214"/>
      <c r="Q31" s="187">
        <f t="shared" si="3"/>
        <v>1538</v>
      </c>
      <c r="R31" s="183">
        <f t="shared" si="4"/>
        <v>1763</v>
      </c>
      <c r="S31" s="215"/>
      <c r="T31" s="215"/>
    </row>
    <row r="32" spans="2:20" ht="15" customHeight="1" thickBot="1" x14ac:dyDescent="0.35">
      <c r="B32" s="26">
        <v>17</v>
      </c>
      <c r="C32" s="238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38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38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14</v>
      </c>
      <c r="L34" s="251">
        <f>892+400+30+30+10+10+15+15+120+592+150</f>
        <v>2264</v>
      </c>
      <c r="M34" s="252"/>
      <c r="N34" s="256">
        <f t="shared" si="2"/>
        <v>2278</v>
      </c>
      <c r="O34" s="213"/>
      <c r="P34" s="214"/>
      <c r="Q34" s="187">
        <f t="shared" si="3"/>
        <v>2278</v>
      </c>
      <c r="R34" s="183">
        <f t="shared" si="4"/>
        <v>2278</v>
      </c>
      <c r="S34" s="215"/>
      <c r="T34" s="215"/>
    </row>
    <row r="35" spans="2:20" ht="15" customHeight="1" thickBot="1" x14ac:dyDescent="0.35">
      <c r="B35" s="28">
        <v>20</v>
      </c>
      <c r="C35" s="239"/>
      <c r="D35" s="217"/>
      <c r="E35" s="218"/>
      <c r="F35" s="177">
        <f t="shared" si="0"/>
        <v>0</v>
      </c>
      <c r="G35" s="210"/>
      <c r="H35" s="211">
        <v>225</v>
      </c>
      <c r="I35" s="212"/>
      <c r="J35" s="176">
        <f t="shared" si="1"/>
        <v>225</v>
      </c>
      <c r="K35" s="250">
        <v>14</v>
      </c>
      <c r="L35" s="251">
        <f>1296+400+30+30+10+10+15+15+8+80+52</f>
        <v>1946</v>
      </c>
      <c r="M35" s="252"/>
      <c r="N35" s="256">
        <f t="shared" si="2"/>
        <v>1960</v>
      </c>
      <c r="O35" s="213"/>
      <c r="P35" s="214"/>
      <c r="Q35" s="187">
        <f t="shared" si="3"/>
        <v>1960</v>
      </c>
      <c r="R35" s="183">
        <f t="shared" si="4"/>
        <v>2185</v>
      </c>
      <c r="S35" s="215"/>
      <c r="T35" s="215"/>
    </row>
    <row r="36" spans="2:20" ht="15" customHeight="1" thickBot="1" x14ac:dyDescent="0.35">
      <c r="B36" s="26">
        <v>21</v>
      </c>
      <c r="C36" s="238"/>
      <c r="D36" s="217"/>
      <c r="E36" s="218"/>
      <c r="F36" s="177">
        <f t="shared" si="0"/>
        <v>0</v>
      </c>
      <c r="G36" s="210"/>
      <c r="H36" s="211">
        <v>225</v>
      </c>
      <c r="I36" s="212"/>
      <c r="J36" s="176">
        <f t="shared" si="1"/>
        <v>225</v>
      </c>
      <c r="K36" s="250">
        <v>14</v>
      </c>
      <c r="L36" s="251">
        <f>912+400+30+30+10+10+10+15+15+8+80+228</f>
        <v>1748</v>
      </c>
      <c r="M36" s="252"/>
      <c r="N36" s="256">
        <f t="shared" si="2"/>
        <v>1762</v>
      </c>
      <c r="O36" s="213"/>
      <c r="P36" s="214"/>
      <c r="Q36" s="187">
        <f t="shared" si="3"/>
        <v>1762</v>
      </c>
      <c r="R36" s="183">
        <f t="shared" si="4"/>
        <v>1987</v>
      </c>
      <c r="S36" s="215"/>
      <c r="T36" s="215"/>
    </row>
    <row r="37" spans="2:20" ht="15" customHeight="1" thickBot="1" x14ac:dyDescent="0.35">
      <c r="B37" s="26">
        <v>22</v>
      </c>
      <c r="C37" s="238"/>
      <c r="D37" s="217"/>
      <c r="E37" s="218"/>
      <c r="F37" s="177">
        <f t="shared" si="0"/>
        <v>0</v>
      </c>
      <c r="G37" s="210"/>
      <c r="H37" s="211">
        <v>225</v>
      </c>
      <c r="I37" s="212"/>
      <c r="J37" s="176">
        <f t="shared" si="1"/>
        <v>225</v>
      </c>
      <c r="K37" s="250">
        <v>14</v>
      </c>
      <c r="L37" s="251">
        <f>852+400+30+30+10+10+15+15+8+80</f>
        <v>1450</v>
      </c>
      <c r="M37" s="252"/>
      <c r="N37" s="256">
        <f t="shared" si="2"/>
        <v>1464</v>
      </c>
      <c r="O37" s="213"/>
      <c r="P37" s="214"/>
      <c r="Q37" s="187">
        <f t="shared" si="3"/>
        <v>1464</v>
      </c>
      <c r="R37" s="183">
        <f t="shared" si="4"/>
        <v>1689</v>
      </c>
      <c r="S37" s="215"/>
      <c r="T37" s="215"/>
    </row>
    <row r="38" spans="2:20" ht="15" customHeight="1" thickBot="1" x14ac:dyDescent="0.35">
      <c r="B38" s="26">
        <v>23</v>
      </c>
      <c r="C38" s="238"/>
      <c r="D38" s="217"/>
      <c r="E38" s="218"/>
      <c r="F38" s="177">
        <f t="shared" si="0"/>
        <v>0</v>
      </c>
      <c r="G38" s="210"/>
      <c r="H38" s="211">
        <v>225</v>
      </c>
      <c r="I38" s="212"/>
      <c r="J38" s="176">
        <f t="shared" si="1"/>
        <v>225</v>
      </c>
      <c r="K38" s="250">
        <v>14</v>
      </c>
      <c r="L38" s="251">
        <f>894+400+30+30+10+10+15+15+8+80</f>
        <v>1492</v>
      </c>
      <c r="M38" s="252"/>
      <c r="N38" s="256">
        <f t="shared" si="2"/>
        <v>1506</v>
      </c>
      <c r="O38" s="213"/>
      <c r="P38" s="214"/>
      <c r="Q38" s="187">
        <f t="shared" si="3"/>
        <v>1506</v>
      </c>
      <c r="R38" s="183">
        <f t="shared" si="4"/>
        <v>1731</v>
      </c>
      <c r="S38" s="215"/>
      <c r="T38" s="215"/>
    </row>
    <row r="39" spans="2:20" ht="15" customHeight="1" thickBot="1" x14ac:dyDescent="0.35">
      <c r="B39" s="26">
        <v>24</v>
      </c>
      <c r="C39" s="238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38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12</v>
      </c>
      <c r="L40" s="251">
        <v>200</v>
      </c>
      <c r="M40" s="252"/>
      <c r="N40" s="256">
        <f t="shared" si="2"/>
        <v>212</v>
      </c>
      <c r="O40" s="213"/>
      <c r="P40" s="214"/>
      <c r="Q40" s="187">
        <f t="shared" si="3"/>
        <v>212</v>
      </c>
      <c r="R40" s="183">
        <f t="shared" si="4"/>
        <v>212</v>
      </c>
      <c r="S40" s="215"/>
      <c r="T40" s="215"/>
    </row>
    <row r="41" spans="2:20" ht="15" customHeight="1" thickBot="1" x14ac:dyDescent="0.35">
      <c r="B41" s="26">
        <v>26</v>
      </c>
      <c r="C41" s="238"/>
      <c r="D41" s="217"/>
      <c r="E41" s="218"/>
      <c r="F41" s="177">
        <f t="shared" si="0"/>
        <v>0</v>
      </c>
      <c r="G41" s="210"/>
      <c r="H41" s="211">
        <v>225</v>
      </c>
      <c r="I41" s="212"/>
      <c r="J41" s="176">
        <f t="shared" si="1"/>
        <v>225</v>
      </c>
      <c r="K41" s="250">
        <v>14</v>
      </c>
      <c r="L41" s="251">
        <f>746+400+30+30+10+10+15+15+8+80+40</f>
        <v>1384</v>
      </c>
      <c r="M41" s="252"/>
      <c r="N41" s="256">
        <f t="shared" si="2"/>
        <v>1398</v>
      </c>
      <c r="O41" s="213"/>
      <c r="P41" s="214"/>
      <c r="Q41" s="187">
        <f t="shared" si="3"/>
        <v>1398</v>
      </c>
      <c r="R41" s="183">
        <f t="shared" si="4"/>
        <v>1623</v>
      </c>
      <c r="S41" s="215"/>
      <c r="T41" s="215"/>
    </row>
    <row r="42" spans="2:20" ht="15" customHeight="1" thickBot="1" x14ac:dyDescent="0.35">
      <c r="B42" s="26">
        <v>27</v>
      </c>
      <c r="C42" s="238"/>
      <c r="D42" s="217"/>
      <c r="E42" s="218"/>
      <c r="F42" s="177">
        <f t="shared" si="0"/>
        <v>0</v>
      </c>
      <c r="G42" s="210"/>
      <c r="H42" s="211">
        <v>225</v>
      </c>
      <c r="I42" s="212"/>
      <c r="J42" s="176">
        <f t="shared" si="1"/>
        <v>225</v>
      </c>
      <c r="K42" s="250">
        <v>14</v>
      </c>
      <c r="L42" s="251">
        <f>684+400+30+30+10+10+15+15+8+80</f>
        <v>1282</v>
      </c>
      <c r="M42" s="252"/>
      <c r="N42" s="256">
        <f t="shared" si="2"/>
        <v>1296</v>
      </c>
      <c r="O42" s="213"/>
      <c r="P42" s="214"/>
      <c r="Q42" s="187">
        <f t="shared" si="3"/>
        <v>1296</v>
      </c>
      <c r="R42" s="183">
        <f t="shared" si="4"/>
        <v>1521</v>
      </c>
      <c r="S42" s="215"/>
      <c r="T42" s="215"/>
    </row>
    <row r="43" spans="2:20" ht="15" customHeight="1" thickBot="1" x14ac:dyDescent="0.35">
      <c r="B43" s="26">
        <v>28</v>
      </c>
      <c r="C43" s="238"/>
      <c r="D43" s="217"/>
      <c r="E43" s="218"/>
      <c r="F43" s="177">
        <f t="shared" si="0"/>
        <v>0</v>
      </c>
      <c r="G43" s="210"/>
      <c r="H43" s="211">
        <v>225</v>
      </c>
      <c r="I43" s="212"/>
      <c r="J43" s="176">
        <f t="shared" si="1"/>
        <v>225</v>
      </c>
      <c r="K43" s="250">
        <v>14</v>
      </c>
      <c r="L43" s="251">
        <f>774+400+30+30+10+10+15+15+8+80</f>
        <v>1372</v>
      </c>
      <c r="M43" s="252"/>
      <c r="N43" s="256">
        <f t="shared" si="2"/>
        <v>1386</v>
      </c>
      <c r="O43" s="213"/>
      <c r="P43" s="214"/>
      <c r="Q43" s="187">
        <f t="shared" si="3"/>
        <v>1386</v>
      </c>
      <c r="R43" s="183">
        <f t="shared" si="4"/>
        <v>1611</v>
      </c>
      <c r="S43" s="215"/>
      <c r="T43" s="215"/>
    </row>
    <row r="44" spans="2:20" ht="15" customHeight="1" thickBot="1" x14ac:dyDescent="0.35">
      <c r="B44" s="26">
        <v>29</v>
      </c>
      <c r="C44" s="238"/>
      <c r="D44" s="217"/>
      <c r="E44" s="218"/>
      <c r="F44" s="177">
        <f t="shared" si="0"/>
        <v>0</v>
      </c>
      <c r="G44" s="210"/>
      <c r="H44" s="211">
        <v>225</v>
      </c>
      <c r="I44" s="212"/>
      <c r="J44" s="176">
        <f t="shared" si="1"/>
        <v>225</v>
      </c>
      <c r="K44" s="250">
        <v>14</v>
      </c>
      <c r="L44" s="251">
        <f>712+598</f>
        <v>1310</v>
      </c>
      <c r="M44" s="252"/>
      <c r="N44" s="256">
        <f t="shared" si="2"/>
        <v>1324</v>
      </c>
      <c r="O44" s="213"/>
      <c r="P44" s="214"/>
      <c r="Q44" s="187">
        <f t="shared" si="3"/>
        <v>1324</v>
      </c>
      <c r="R44" s="183">
        <f t="shared" si="4"/>
        <v>1549</v>
      </c>
      <c r="S44" s="215"/>
      <c r="T44" s="215"/>
    </row>
    <row r="45" spans="2:20" ht="15" customHeight="1" thickBot="1" x14ac:dyDescent="0.35">
      <c r="B45" s="26">
        <v>30</v>
      </c>
      <c r="C45" s="238"/>
      <c r="D45" s="217"/>
      <c r="E45" s="218"/>
      <c r="F45" s="177">
        <f t="shared" si="0"/>
        <v>0</v>
      </c>
      <c r="G45" s="210"/>
      <c r="H45" s="211">
        <v>225</v>
      </c>
      <c r="I45" s="212"/>
      <c r="J45" s="176">
        <f t="shared" si="1"/>
        <v>225</v>
      </c>
      <c r="K45" s="250">
        <v>14</v>
      </c>
      <c r="L45" s="251">
        <f>794+598</f>
        <v>1392</v>
      </c>
      <c r="M45" s="252"/>
      <c r="N45" s="256">
        <f t="shared" si="2"/>
        <v>1406</v>
      </c>
      <c r="O45" s="213"/>
      <c r="P45" s="214"/>
      <c r="Q45" s="187">
        <f t="shared" si="3"/>
        <v>1406</v>
      </c>
      <c r="R45" s="183">
        <f t="shared" si="4"/>
        <v>1631</v>
      </c>
      <c r="S45" s="215"/>
      <c r="T45" s="215"/>
    </row>
    <row r="46" spans="2:20" ht="15" customHeight="1" x14ac:dyDescent="0.3">
      <c r="B46" s="26">
        <v>31</v>
      </c>
      <c r="C46" s="238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4725</v>
      </c>
      <c r="I48" s="182">
        <f t="shared" si="5"/>
        <v>0</v>
      </c>
      <c r="J48" s="175">
        <f>SUM(J16:J46)</f>
        <v>4725</v>
      </c>
      <c r="K48" s="261">
        <f t="shared" si="5"/>
        <v>332</v>
      </c>
      <c r="L48" s="259">
        <f t="shared" si="5"/>
        <v>32901</v>
      </c>
      <c r="M48" s="260">
        <f t="shared" si="5"/>
        <v>0</v>
      </c>
      <c r="N48" s="258">
        <f>SUM(N16:N46)</f>
        <v>33233</v>
      </c>
      <c r="O48" s="195">
        <f t="shared" si="5"/>
        <v>0</v>
      </c>
      <c r="P48" s="195">
        <f t="shared" si="5"/>
        <v>0</v>
      </c>
      <c r="Q48" s="194">
        <f>SUM(Q16:Q46)</f>
        <v>33233</v>
      </c>
      <c r="R48" s="185">
        <f>SUM(R16:R46)</f>
        <v>37958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37958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pageSetup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9" zoomScale="62" zoomScaleNormal="62" workbookViewId="0">
      <pane xSplit="1" topLeftCell="B1" activePane="topRight" state="frozen"/>
      <selection activeCell="R13" sqref="R13"/>
      <selection pane="topRight" activeCell="M38" sqref="M38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19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/>
      <c r="K16" s="250">
        <v>25</v>
      </c>
      <c r="L16" s="251">
        <f>699+150+10+5+12+25</f>
        <v>901</v>
      </c>
      <c r="M16" s="252"/>
      <c r="N16" s="256">
        <f>+K16+L16+M16</f>
        <v>926</v>
      </c>
      <c r="O16" s="235"/>
      <c r="P16" s="234"/>
      <c r="Q16" s="187">
        <f>+P16+O16+N16</f>
        <v>926</v>
      </c>
      <c r="R16" s="183">
        <f>+Q16+J16+F16</f>
        <v>926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25</v>
      </c>
      <c r="L17" s="251">
        <f>690+25+10+5+12+150</f>
        <v>892</v>
      </c>
      <c r="M17" s="252"/>
      <c r="N17" s="256">
        <f t="shared" ref="N17:N46" si="2">+K17+L17+M17</f>
        <v>917</v>
      </c>
      <c r="O17" s="213"/>
      <c r="P17" s="214"/>
      <c r="Q17" s="187">
        <f t="shared" ref="Q17:Q46" si="3">+P17+O17+N17</f>
        <v>917</v>
      </c>
      <c r="R17" s="183">
        <f t="shared" ref="R17:R46" si="4">+Q17+J17+F17</f>
        <v>917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20</v>
      </c>
      <c r="L18" s="251">
        <v>300</v>
      </c>
      <c r="M18" s="252"/>
      <c r="N18" s="256">
        <f t="shared" si="2"/>
        <v>320</v>
      </c>
      <c r="O18" s="213"/>
      <c r="P18" s="214"/>
      <c r="Q18" s="187">
        <f t="shared" si="3"/>
        <v>320</v>
      </c>
      <c r="R18" s="183">
        <f t="shared" si="4"/>
        <v>320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25</v>
      </c>
      <c r="L20" s="251">
        <f>699+10+14+25+5</f>
        <v>753</v>
      </c>
      <c r="M20" s="252"/>
      <c r="N20" s="256">
        <f t="shared" si="2"/>
        <v>778</v>
      </c>
      <c r="O20" s="213"/>
      <c r="P20" s="214"/>
      <c r="Q20" s="187">
        <f t="shared" si="3"/>
        <v>778</v>
      </c>
      <c r="R20" s="183">
        <f t="shared" si="4"/>
        <v>778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25</v>
      </c>
      <c r="L21" s="251">
        <f>699+25+10+5+14</f>
        <v>753</v>
      </c>
      <c r="M21" s="252"/>
      <c r="N21" s="256">
        <f t="shared" si="2"/>
        <v>778</v>
      </c>
      <c r="O21" s="213"/>
      <c r="P21" s="214"/>
      <c r="Q21" s="187">
        <f t="shared" si="3"/>
        <v>778</v>
      </c>
      <c r="R21" s="183">
        <f t="shared" si="4"/>
        <v>778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24</v>
      </c>
      <c r="L22" s="251">
        <f>698+25+10+12+5+15</f>
        <v>765</v>
      </c>
      <c r="M22" s="252"/>
      <c r="N22" s="256">
        <f t="shared" si="2"/>
        <v>789</v>
      </c>
      <c r="O22" s="213"/>
      <c r="P22" s="214"/>
      <c r="Q22" s="187">
        <f t="shared" si="3"/>
        <v>789</v>
      </c>
      <c r="R22" s="183">
        <f t="shared" si="4"/>
        <v>789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25</v>
      </c>
      <c r="L23" s="251">
        <f>699+25+10+5+12</f>
        <v>751</v>
      </c>
      <c r="M23" s="252"/>
      <c r="N23" s="256">
        <f t="shared" si="2"/>
        <v>776</v>
      </c>
      <c r="O23" s="213"/>
      <c r="P23" s="214"/>
      <c r="Q23" s="187">
        <f t="shared" si="3"/>
        <v>776</v>
      </c>
      <c r="R23" s="183">
        <f t="shared" si="4"/>
        <v>776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24</v>
      </c>
      <c r="L24" s="251">
        <f>701+25+5+10+12</f>
        <v>753</v>
      </c>
      <c r="M24" s="252"/>
      <c r="N24" s="256">
        <f t="shared" si="2"/>
        <v>777</v>
      </c>
      <c r="O24" s="213"/>
      <c r="P24" s="214"/>
      <c r="Q24" s="187">
        <f t="shared" si="3"/>
        <v>777</v>
      </c>
      <c r="R24" s="183">
        <f t="shared" si="4"/>
        <v>777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24</v>
      </c>
      <c r="L27" s="251">
        <f>700+25+10+12+5+10</f>
        <v>762</v>
      </c>
      <c r="M27" s="252"/>
      <c r="N27" s="256">
        <f t="shared" si="2"/>
        <v>786</v>
      </c>
      <c r="O27" s="213"/>
      <c r="P27" s="214"/>
      <c r="Q27" s="187">
        <f t="shared" si="3"/>
        <v>786</v>
      </c>
      <c r="R27" s="183">
        <f t="shared" si="4"/>
        <v>786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24</v>
      </c>
      <c r="L28" s="251">
        <f>702+25+10+5+12+10</f>
        <v>764</v>
      </c>
      <c r="M28" s="252"/>
      <c r="N28" s="256">
        <f t="shared" si="2"/>
        <v>788</v>
      </c>
      <c r="O28" s="213"/>
      <c r="P28" s="214"/>
      <c r="Q28" s="187">
        <f t="shared" si="3"/>
        <v>788</v>
      </c>
      <c r="R28" s="183">
        <f t="shared" si="4"/>
        <v>788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24</v>
      </c>
      <c r="L29" s="251">
        <f>700+25+10+12+10+5+30</f>
        <v>792</v>
      </c>
      <c r="M29" s="252"/>
      <c r="N29" s="256">
        <f t="shared" si="2"/>
        <v>816</v>
      </c>
      <c r="O29" s="213"/>
      <c r="P29" s="214"/>
      <c r="Q29" s="187">
        <f t="shared" si="3"/>
        <v>816</v>
      </c>
      <c r="R29" s="183">
        <f t="shared" si="4"/>
        <v>816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24</v>
      </c>
      <c r="L30" s="251">
        <f>705+25+10+12+10+40+40+5</f>
        <v>847</v>
      </c>
      <c r="M30" s="252"/>
      <c r="N30" s="256">
        <f t="shared" si="2"/>
        <v>871</v>
      </c>
      <c r="O30" s="213"/>
      <c r="P30" s="214"/>
      <c r="Q30" s="187">
        <f t="shared" si="3"/>
        <v>871</v>
      </c>
      <c r="R30" s="183">
        <f t="shared" si="4"/>
        <v>871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24</v>
      </c>
      <c r="L31" s="251">
        <f>706+25+5+12+10+40</f>
        <v>798</v>
      </c>
      <c r="M31" s="252"/>
      <c r="N31" s="256">
        <f t="shared" si="2"/>
        <v>822</v>
      </c>
      <c r="O31" s="213"/>
      <c r="P31" s="214"/>
      <c r="Q31" s="187">
        <f t="shared" si="3"/>
        <v>822</v>
      </c>
      <c r="R31" s="183">
        <f t="shared" si="4"/>
        <v>822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22</v>
      </c>
      <c r="L34" s="251">
        <v>410</v>
      </c>
      <c r="M34" s="252"/>
      <c r="N34" s="256">
        <f t="shared" si="2"/>
        <v>432</v>
      </c>
      <c r="O34" s="213"/>
      <c r="P34" s="214"/>
      <c r="Q34" s="187">
        <f t="shared" si="3"/>
        <v>432</v>
      </c>
      <c r="R34" s="183">
        <f t="shared" si="4"/>
        <v>432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24</v>
      </c>
      <c r="L35" s="251">
        <f>710+25+10+40+12+10+5+260+200</f>
        <v>1272</v>
      </c>
      <c r="M35" s="252"/>
      <c r="N35" s="256">
        <f t="shared" si="2"/>
        <v>1296</v>
      </c>
      <c r="O35" s="213"/>
      <c r="P35" s="214"/>
      <c r="Q35" s="187">
        <f t="shared" si="3"/>
        <v>1296</v>
      </c>
      <c r="R35" s="183">
        <f t="shared" si="4"/>
        <v>1296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24</v>
      </c>
      <c r="L36" s="251">
        <f>710+25+10+40+12+5+100+10+39</f>
        <v>951</v>
      </c>
      <c r="M36" s="252"/>
      <c r="N36" s="256">
        <f t="shared" si="2"/>
        <v>975</v>
      </c>
      <c r="O36" s="213"/>
      <c r="P36" s="214"/>
      <c r="Q36" s="187">
        <f t="shared" si="3"/>
        <v>975</v>
      </c>
      <c r="R36" s="183">
        <f t="shared" si="4"/>
        <v>975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24</v>
      </c>
      <c r="L37" s="251">
        <f>709+25+10+50+14+5+100+10+20</f>
        <v>943</v>
      </c>
      <c r="M37" s="252"/>
      <c r="N37" s="256">
        <f t="shared" si="2"/>
        <v>967</v>
      </c>
      <c r="O37" s="213"/>
      <c r="P37" s="214"/>
      <c r="Q37" s="187">
        <f t="shared" si="3"/>
        <v>967</v>
      </c>
      <c r="R37" s="183">
        <f t="shared" si="4"/>
        <v>967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24</v>
      </c>
      <c r="L38" s="251">
        <f>715+25+10+5+20+12+10+50</f>
        <v>847</v>
      </c>
      <c r="M38" s="252"/>
      <c r="N38" s="256">
        <f t="shared" si="2"/>
        <v>871</v>
      </c>
      <c r="O38" s="213"/>
      <c r="P38" s="214"/>
      <c r="Q38" s="187">
        <f t="shared" si="3"/>
        <v>871</v>
      </c>
      <c r="R38" s="183">
        <f t="shared" si="4"/>
        <v>871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24</v>
      </c>
      <c r="L41" s="251">
        <f>708+25+10+10+12+5+50</f>
        <v>820</v>
      </c>
      <c r="M41" s="252"/>
      <c r="N41" s="256">
        <f t="shared" si="2"/>
        <v>844</v>
      </c>
      <c r="O41" s="213"/>
      <c r="P41" s="214"/>
      <c r="Q41" s="187">
        <f t="shared" si="3"/>
        <v>844</v>
      </c>
      <c r="R41" s="183">
        <f t="shared" si="4"/>
        <v>844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24</v>
      </c>
      <c r="L42" s="251">
        <f>708+25+10+50+5+12+15</f>
        <v>825</v>
      </c>
      <c r="M42" s="252"/>
      <c r="N42" s="256">
        <f t="shared" si="2"/>
        <v>849</v>
      </c>
      <c r="O42" s="213"/>
      <c r="P42" s="214"/>
      <c r="Q42" s="187">
        <f t="shared" si="3"/>
        <v>849</v>
      </c>
      <c r="R42" s="183">
        <f t="shared" si="4"/>
        <v>849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24</v>
      </c>
      <c r="L43" s="251">
        <f>710+25+10+5+12+50+10+15</f>
        <v>837</v>
      </c>
      <c r="M43" s="252"/>
      <c r="N43" s="256">
        <f t="shared" si="2"/>
        <v>861</v>
      </c>
      <c r="O43" s="213"/>
      <c r="P43" s="214"/>
      <c r="Q43" s="187">
        <f t="shared" si="3"/>
        <v>861</v>
      </c>
      <c r="R43" s="183">
        <f t="shared" si="4"/>
        <v>861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24</v>
      </c>
      <c r="L44" s="251">
        <f>715+25+10+50+5+12+10+10</f>
        <v>837</v>
      </c>
      <c r="M44" s="252"/>
      <c r="N44" s="256">
        <f t="shared" si="2"/>
        <v>861</v>
      </c>
      <c r="O44" s="213"/>
      <c r="P44" s="214"/>
      <c r="Q44" s="187">
        <f t="shared" si="3"/>
        <v>861</v>
      </c>
      <c r="R44" s="183">
        <f t="shared" si="4"/>
        <v>861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24</v>
      </c>
      <c r="L45" s="251">
        <f>709+25+50+10+13+10+12</f>
        <v>829</v>
      </c>
      <c r="M45" s="252"/>
      <c r="N45" s="256">
        <f t="shared" si="2"/>
        <v>853</v>
      </c>
      <c r="O45" s="213"/>
      <c r="P45" s="214"/>
      <c r="Q45" s="187">
        <f t="shared" si="3"/>
        <v>853</v>
      </c>
      <c r="R45" s="183">
        <f t="shared" si="4"/>
        <v>853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551</v>
      </c>
      <c r="L48" s="259">
        <f t="shared" si="5"/>
        <v>18402</v>
      </c>
      <c r="M48" s="260">
        <f t="shared" si="5"/>
        <v>0</v>
      </c>
      <c r="N48" s="258">
        <f>SUM(N16:N46)</f>
        <v>18953</v>
      </c>
      <c r="O48" s="195">
        <f t="shared" si="5"/>
        <v>0</v>
      </c>
      <c r="P48" s="195">
        <f t="shared" si="5"/>
        <v>0</v>
      </c>
      <c r="Q48" s="194">
        <f>SUM(Q16:Q46)</f>
        <v>18953</v>
      </c>
      <c r="R48" s="185">
        <f>SUM(R16:R46)</f>
        <v>18953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18953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7" zoomScale="72" zoomScaleNormal="72" workbookViewId="0">
      <pane xSplit="1" topLeftCell="B1" activePane="topRight" state="frozen"/>
      <selection activeCell="R13" sqref="R13"/>
      <selection pane="topRight"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20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17</v>
      </c>
      <c r="L16" s="251">
        <f>40+20+25+10+455</f>
        <v>550</v>
      </c>
      <c r="M16" s="252"/>
      <c r="N16" s="256">
        <f>+K16+L16+M16</f>
        <v>567</v>
      </c>
      <c r="O16" s="235"/>
      <c r="P16" s="234"/>
      <c r="Q16" s="187">
        <f>+P16+O16+N16</f>
        <v>567</v>
      </c>
      <c r="R16" s="183">
        <f>+Q16+J16+F16</f>
        <v>567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17</v>
      </c>
      <c r="L17" s="251">
        <f>40+25+20+10+466</f>
        <v>561</v>
      </c>
      <c r="M17" s="252"/>
      <c r="N17" s="256">
        <f t="shared" ref="N17:N46" si="2">+K17+L17+M17</f>
        <v>578</v>
      </c>
      <c r="O17" s="213"/>
      <c r="P17" s="214"/>
      <c r="Q17" s="187">
        <f t="shared" ref="Q17:Q46" si="3">+P17+O17+N17</f>
        <v>578</v>
      </c>
      <c r="R17" s="183">
        <f t="shared" ref="R17:R46" si="4">+Q17+J17+F17</f>
        <v>578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17</v>
      </c>
      <c r="L20" s="251">
        <f>40+10+25+485</f>
        <v>560</v>
      </c>
      <c r="M20" s="252"/>
      <c r="N20" s="256">
        <f t="shared" si="2"/>
        <v>577</v>
      </c>
      <c r="O20" s="213"/>
      <c r="P20" s="214"/>
      <c r="Q20" s="187">
        <f t="shared" si="3"/>
        <v>577</v>
      </c>
      <c r="R20" s="183">
        <f t="shared" si="4"/>
        <v>577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17</v>
      </c>
      <c r="L21" s="251">
        <f>40+10+25+450</f>
        <v>525</v>
      </c>
      <c r="M21" s="252"/>
      <c r="N21" s="256">
        <f t="shared" si="2"/>
        <v>542</v>
      </c>
      <c r="O21" s="213"/>
      <c r="P21" s="214"/>
      <c r="Q21" s="187">
        <f t="shared" si="3"/>
        <v>542</v>
      </c>
      <c r="R21" s="183">
        <f t="shared" si="4"/>
        <v>542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17</v>
      </c>
      <c r="L22" s="251">
        <f>40+10+25+475</f>
        <v>550</v>
      </c>
      <c r="M22" s="252"/>
      <c r="N22" s="256">
        <f t="shared" si="2"/>
        <v>567</v>
      </c>
      <c r="O22" s="213"/>
      <c r="P22" s="214"/>
      <c r="Q22" s="187">
        <f t="shared" si="3"/>
        <v>567</v>
      </c>
      <c r="R22" s="183">
        <f t="shared" si="4"/>
        <v>567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17</v>
      </c>
      <c r="L23" s="251">
        <f>40+10+25+480</f>
        <v>555</v>
      </c>
      <c r="M23" s="252"/>
      <c r="N23" s="256">
        <f t="shared" si="2"/>
        <v>572</v>
      </c>
      <c r="O23" s="213"/>
      <c r="P23" s="214"/>
      <c r="Q23" s="187">
        <f t="shared" si="3"/>
        <v>572</v>
      </c>
      <c r="R23" s="183">
        <f t="shared" si="4"/>
        <v>572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17</v>
      </c>
      <c r="L24" s="251">
        <f>40+10+25+485</f>
        <v>560</v>
      </c>
      <c r="M24" s="252"/>
      <c r="N24" s="256">
        <f t="shared" si="2"/>
        <v>577</v>
      </c>
      <c r="O24" s="213"/>
      <c r="P24" s="214"/>
      <c r="Q24" s="187">
        <f t="shared" si="3"/>
        <v>577</v>
      </c>
      <c r="R24" s="183">
        <f t="shared" si="4"/>
        <v>577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17</v>
      </c>
      <c r="L27" s="251">
        <f>40+25+10+460</f>
        <v>535</v>
      </c>
      <c r="M27" s="252"/>
      <c r="N27" s="256">
        <f t="shared" si="2"/>
        <v>552</v>
      </c>
      <c r="O27" s="213"/>
      <c r="P27" s="214"/>
      <c r="Q27" s="187">
        <f t="shared" si="3"/>
        <v>552</v>
      </c>
      <c r="R27" s="183">
        <f t="shared" si="4"/>
        <v>552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17</v>
      </c>
      <c r="L28" s="251">
        <f>40+25+10+450</f>
        <v>525</v>
      </c>
      <c r="M28" s="252"/>
      <c r="N28" s="256">
        <f t="shared" si="2"/>
        <v>542</v>
      </c>
      <c r="O28" s="213"/>
      <c r="P28" s="214"/>
      <c r="Q28" s="187">
        <f t="shared" si="3"/>
        <v>542</v>
      </c>
      <c r="R28" s="183">
        <f t="shared" si="4"/>
        <v>542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17</v>
      </c>
      <c r="L29" s="251">
        <f>40+25+10+465</f>
        <v>540</v>
      </c>
      <c r="M29" s="252"/>
      <c r="N29" s="256">
        <f t="shared" si="2"/>
        <v>557</v>
      </c>
      <c r="O29" s="213"/>
      <c r="P29" s="214"/>
      <c r="Q29" s="187">
        <f t="shared" si="3"/>
        <v>557</v>
      </c>
      <c r="R29" s="183">
        <f t="shared" si="4"/>
        <v>557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17</v>
      </c>
      <c r="L30" s="251">
        <f>40+25+40+10+470</f>
        <v>585</v>
      </c>
      <c r="M30" s="252"/>
      <c r="N30" s="256">
        <f t="shared" si="2"/>
        <v>602</v>
      </c>
      <c r="O30" s="213"/>
      <c r="P30" s="214"/>
      <c r="Q30" s="187">
        <f t="shared" si="3"/>
        <v>602</v>
      </c>
      <c r="R30" s="183">
        <f t="shared" si="4"/>
        <v>602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17</v>
      </c>
      <c r="L31" s="251">
        <f>40+25+10+480</f>
        <v>555</v>
      </c>
      <c r="M31" s="252"/>
      <c r="N31" s="256">
        <f t="shared" si="2"/>
        <v>572</v>
      </c>
      <c r="O31" s="213"/>
      <c r="P31" s="214"/>
      <c r="Q31" s="187">
        <f t="shared" si="3"/>
        <v>572</v>
      </c>
      <c r="R31" s="183">
        <f t="shared" si="4"/>
        <v>572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17</v>
      </c>
      <c r="L32" s="251">
        <v>50</v>
      </c>
      <c r="M32" s="252"/>
      <c r="N32" s="256">
        <f t="shared" si="2"/>
        <v>67</v>
      </c>
      <c r="O32" s="213"/>
      <c r="P32" s="214"/>
      <c r="Q32" s="187">
        <f t="shared" si="3"/>
        <v>67</v>
      </c>
      <c r="R32" s="183">
        <f t="shared" si="4"/>
        <v>67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17</v>
      </c>
      <c r="L34" s="251">
        <v>570</v>
      </c>
      <c r="M34" s="252"/>
      <c r="N34" s="256">
        <f t="shared" si="2"/>
        <v>587</v>
      </c>
      <c r="O34" s="213"/>
      <c r="P34" s="214"/>
      <c r="Q34" s="187">
        <f t="shared" si="3"/>
        <v>587</v>
      </c>
      <c r="R34" s="183">
        <f t="shared" si="4"/>
        <v>587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17</v>
      </c>
      <c r="L35" s="251">
        <f>40+635</f>
        <v>675</v>
      </c>
      <c r="M35" s="252"/>
      <c r="N35" s="256">
        <f t="shared" si="2"/>
        <v>692</v>
      </c>
      <c r="O35" s="213"/>
      <c r="P35" s="214"/>
      <c r="Q35" s="187">
        <f t="shared" si="3"/>
        <v>692</v>
      </c>
      <c r="R35" s="183">
        <f t="shared" si="4"/>
        <v>692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17</v>
      </c>
      <c r="L36" s="251">
        <f>630+40+25</f>
        <v>695</v>
      </c>
      <c r="M36" s="252"/>
      <c r="N36" s="256">
        <f t="shared" si="2"/>
        <v>712</v>
      </c>
      <c r="O36" s="213"/>
      <c r="P36" s="214"/>
      <c r="Q36" s="187">
        <f t="shared" si="3"/>
        <v>712</v>
      </c>
      <c r="R36" s="183">
        <f t="shared" si="4"/>
        <v>712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17</v>
      </c>
      <c r="L37" s="251">
        <f>40+645+25+10</f>
        <v>720</v>
      </c>
      <c r="M37" s="252"/>
      <c r="N37" s="256">
        <f t="shared" si="2"/>
        <v>737</v>
      </c>
      <c r="O37" s="213"/>
      <c r="P37" s="214"/>
      <c r="Q37" s="187">
        <f t="shared" si="3"/>
        <v>737</v>
      </c>
      <c r="R37" s="183">
        <f t="shared" si="4"/>
        <v>737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17</v>
      </c>
      <c r="L38" s="251">
        <f>40+10+25+650</f>
        <v>725</v>
      </c>
      <c r="M38" s="252"/>
      <c r="N38" s="256">
        <f t="shared" si="2"/>
        <v>742</v>
      </c>
      <c r="O38" s="213"/>
      <c r="P38" s="214"/>
      <c r="Q38" s="187">
        <f t="shared" si="3"/>
        <v>742</v>
      </c>
      <c r="R38" s="183">
        <f t="shared" si="4"/>
        <v>742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17</v>
      </c>
      <c r="L41" s="251">
        <f>40+25+10+640</f>
        <v>715</v>
      </c>
      <c r="M41" s="252"/>
      <c r="N41" s="256">
        <f t="shared" si="2"/>
        <v>732</v>
      </c>
      <c r="O41" s="213"/>
      <c r="P41" s="214"/>
      <c r="Q41" s="187">
        <f t="shared" si="3"/>
        <v>732</v>
      </c>
      <c r="R41" s="183">
        <f t="shared" si="4"/>
        <v>732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17</v>
      </c>
      <c r="L42" s="251">
        <f>40+25+10+600</f>
        <v>675</v>
      </c>
      <c r="M42" s="252"/>
      <c r="N42" s="256">
        <f t="shared" si="2"/>
        <v>692</v>
      </c>
      <c r="O42" s="213"/>
      <c r="P42" s="214"/>
      <c r="Q42" s="187">
        <f t="shared" si="3"/>
        <v>692</v>
      </c>
      <c r="R42" s="183">
        <f t="shared" si="4"/>
        <v>692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17</v>
      </c>
      <c r="L43" s="251">
        <f>40+25+10+615</f>
        <v>690</v>
      </c>
      <c r="M43" s="252"/>
      <c r="N43" s="256">
        <f t="shared" si="2"/>
        <v>707</v>
      </c>
      <c r="O43" s="213"/>
      <c r="P43" s="214"/>
      <c r="Q43" s="187">
        <f t="shared" si="3"/>
        <v>707</v>
      </c>
      <c r="R43" s="183">
        <f t="shared" si="4"/>
        <v>707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17</v>
      </c>
      <c r="L44" s="251">
        <f>650+40+25+10</f>
        <v>725</v>
      </c>
      <c r="M44" s="252"/>
      <c r="N44" s="256">
        <f t="shared" si="2"/>
        <v>742</v>
      </c>
      <c r="O44" s="213"/>
      <c r="P44" s="214"/>
      <c r="Q44" s="187">
        <f t="shared" si="3"/>
        <v>742</v>
      </c>
      <c r="R44" s="183">
        <f t="shared" si="4"/>
        <v>742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17</v>
      </c>
      <c r="L45" s="251">
        <f>40+25+10+655</f>
        <v>730</v>
      </c>
      <c r="M45" s="252"/>
      <c r="N45" s="256">
        <f t="shared" si="2"/>
        <v>747</v>
      </c>
      <c r="O45" s="213"/>
      <c r="P45" s="214"/>
      <c r="Q45" s="187">
        <f t="shared" si="3"/>
        <v>747</v>
      </c>
      <c r="R45" s="183">
        <f t="shared" si="4"/>
        <v>747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391</v>
      </c>
      <c r="L48" s="259">
        <f t="shared" si="5"/>
        <v>13571</v>
      </c>
      <c r="M48" s="260">
        <f t="shared" si="5"/>
        <v>0</v>
      </c>
      <c r="N48" s="258">
        <f>SUM(N16:N46)</f>
        <v>13962</v>
      </c>
      <c r="O48" s="195">
        <f t="shared" si="5"/>
        <v>0</v>
      </c>
      <c r="P48" s="195">
        <f t="shared" si="5"/>
        <v>0</v>
      </c>
      <c r="Q48" s="194">
        <f>SUM(Q16:Q46)</f>
        <v>13962</v>
      </c>
      <c r="R48" s="185">
        <f>SUM(R16:R46)</f>
        <v>13962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13962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showGridLines="0" topLeftCell="A28" zoomScale="57" zoomScaleNormal="57" workbookViewId="0">
      <pane xSplit="1" topLeftCell="B1" activePane="topRight" state="frozen"/>
      <selection activeCell="G16" sqref="G16:N17"/>
      <selection pane="topRight" activeCell="P39" sqref="P39"/>
    </sheetView>
  </sheetViews>
  <sheetFormatPr baseColWidth="10" defaultColWidth="11.44140625" defaultRowHeight="14.4" x14ac:dyDescent="0.3"/>
  <cols>
    <col min="1" max="1" width="5.44140625" style="89" customWidth="1"/>
    <col min="2" max="2" width="9.5546875" style="89" customWidth="1"/>
    <col min="3" max="3" width="11.44140625" style="89" bestFit="1" customWidth="1"/>
    <col min="4" max="4" width="9.5546875" style="89" customWidth="1"/>
    <col min="5" max="5" width="13.88671875" style="89" bestFit="1" customWidth="1"/>
    <col min="6" max="6" width="11.44140625" style="89" bestFit="1" customWidth="1"/>
    <col min="7" max="7" width="12.5546875" style="89" bestFit="1" customWidth="1"/>
    <col min="8" max="10" width="12.5546875" style="89" customWidth="1"/>
    <col min="11" max="11" width="15.6640625" style="89" bestFit="1" customWidth="1"/>
    <col min="12" max="12" width="12" style="89" bestFit="1" customWidth="1"/>
    <col min="13" max="13" width="11.44140625" style="89"/>
    <col min="14" max="14" width="10.109375" style="89" bestFit="1" customWidth="1"/>
    <col min="15" max="15" width="11.88671875" style="89" bestFit="1" customWidth="1"/>
    <col min="16" max="16" width="9.33203125" style="89" bestFit="1" customWidth="1"/>
    <col min="17" max="17" width="12.109375" style="89" bestFit="1" customWidth="1"/>
    <col min="18" max="18" width="9.109375" style="89" bestFit="1" customWidth="1"/>
    <col min="19" max="19" width="15.5546875" style="89" bestFit="1" customWidth="1"/>
    <col min="20" max="20" width="14.88671875" style="89" bestFit="1" customWidth="1"/>
    <col min="21" max="21" width="11.44140625" style="89" bestFit="1" customWidth="1"/>
    <col min="22" max="16384" width="11.44140625" style="89"/>
  </cols>
  <sheetData>
    <row r="1" spans="1:23" ht="15" customHeight="1" x14ac:dyDescent="0.3"/>
    <row r="2" spans="1:23" ht="15" customHeight="1" x14ac:dyDescent="0.3"/>
    <row r="3" spans="1:23" ht="15" customHeight="1" x14ac:dyDescent="0.3"/>
    <row r="4" spans="1:23" ht="15" customHeight="1" x14ac:dyDescent="0.3"/>
    <row r="5" spans="1:23" ht="15" customHeight="1" x14ac:dyDescent="0.3"/>
    <row r="6" spans="1:23" ht="15" customHeight="1" x14ac:dyDescent="0.3"/>
    <row r="7" spans="1:23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</row>
    <row r="8" spans="1:23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</row>
    <row r="9" spans="1:23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</row>
    <row r="10" spans="1:23" ht="15" customHeight="1" x14ac:dyDescent="0.3"/>
    <row r="11" spans="1:23" ht="15" customHeight="1" x14ac:dyDescent="0.3"/>
    <row r="12" spans="1:23" ht="15" customHeight="1" x14ac:dyDescent="0.35">
      <c r="B12" s="39" t="s">
        <v>48</v>
      </c>
      <c r="C12" s="40"/>
      <c r="D12" s="524" t="s">
        <v>65</v>
      </c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34"/>
      <c r="P12" s="329" t="str">
        <f>+'ADM 1'!T12</f>
        <v>SEPTIEMBRE</v>
      </c>
      <c r="Q12" s="326"/>
      <c r="R12" s="326"/>
      <c r="S12" s="326"/>
      <c r="T12" s="326"/>
      <c r="U12" s="51">
        <f>+'ADM 1'!Y12</f>
        <v>2022</v>
      </c>
    </row>
    <row r="13" spans="1:23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1"/>
    </row>
    <row r="14" spans="1:23" ht="19.5" customHeight="1" thickBot="1" x14ac:dyDescent="0.35">
      <c r="B14" s="152"/>
      <c r="D14" s="526" t="s">
        <v>50</v>
      </c>
      <c r="E14" s="527"/>
      <c r="F14" s="528"/>
      <c r="G14" s="167"/>
      <c r="H14" s="401"/>
      <c r="I14" s="401"/>
      <c r="J14" s="396"/>
      <c r="K14" s="168" t="s">
        <v>29</v>
      </c>
      <c r="L14" s="168"/>
      <c r="M14" s="169"/>
      <c r="N14" s="521" t="s">
        <v>30</v>
      </c>
      <c r="O14" s="522"/>
      <c r="P14" s="522"/>
      <c r="Q14" s="522"/>
      <c r="R14" s="522"/>
      <c r="S14" s="522"/>
      <c r="T14" s="523"/>
      <c r="U14" s="158" t="s">
        <v>51</v>
      </c>
    </row>
    <row r="15" spans="1:23" ht="48" customHeight="1" thickBot="1" x14ac:dyDescent="0.35">
      <c r="B15" s="151" t="s">
        <v>0</v>
      </c>
      <c r="C15" s="153" t="s">
        <v>60</v>
      </c>
      <c r="D15" s="154" t="s">
        <v>230</v>
      </c>
      <c r="E15" s="164" t="s">
        <v>53</v>
      </c>
      <c r="F15" s="170" t="s">
        <v>183</v>
      </c>
      <c r="G15" s="397" t="s">
        <v>220</v>
      </c>
      <c r="H15" s="397" t="s">
        <v>207</v>
      </c>
      <c r="I15" s="397" t="s">
        <v>211</v>
      </c>
      <c r="J15" s="398" t="s">
        <v>222</v>
      </c>
      <c r="K15" s="394" t="s">
        <v>221</v>
      </c>
      <c r="L15" s="160" t="s">
        <v>54</v>
      </c>
      <c r="M15" s="173" t="s">
        <v>184</v>
      </c>
      <c r="N15" s="247" t="s">
        <v>186</v>
      </c>
      <c r="O15" s="248" t="s">
        <v>187</v>
      </c>
      <c r="P15" s="255" t="s">
        <v>188</v>
      </c>
      <c r="Q15" s="155" t="s">
        <v>182</v>
      </c>
      <c r="R15" s="191" t="s">
        <v>81</v>
      </c>
      <c r="S15" s="192" t="s">
        <v>83</v>
      </c>
      <c r="T15" s="156" t="s">
        <v>185</v>
      </c>
      <c r="U15" s="159" t="s">
        <v>58</v>
      </c>
    </row>
    <row r="16" spans="1:23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>
        <v>7000</v>
      </c>
      <c r="H16" s="210"/>
      <c r="I16" s="210"/>
      <c r="J16" s="210">
        <v>250</v>
      </c>
      <c r="K16" s="211">
        <v>190</v>
      </c>
      <c r="L16" s="212"/>
      <c r="M16" s="176">
        <f>SUM(G16:L16)</f>
        <v>7440</v>
      </c>
      <c r="N16" s="250">
        <v>40</v>
      </c>
      <c r="O16" s="251">
        <f>1200+4+200+30+15+100+100+50+100+100+100+100+150+150+70+6+3+40+30+15+75+100+100+100+100+275+15+40+75+150+50+500+20+30+40+100+100+100+200+10+150+60+100+25+100+10</f>
        <v>5188</v>
      </c>
      <c r="P16" s="252"/>
      <c r="Q16" s="256">
        <f>+N16+O16+P16</f>
        <v>5228</v>
      </c>
      <c r="R16" s="246"/>
      <c r="S16" s="214"/>
      <c r="T16" s="187">
        <f>+S16+R16+Q16</f>
        <v>5228</v>
      </c>
      <c r="U16" s="183">
        <f>+T16+M16+F16</f>
        <v>12668</v>
      </c>
      <c r="V16" s="215"/>
      <c r="W16" s="215"/>
    </row>
    <row r="17" spans="1:23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>
        <v>7000</v>
      </c>
      <c r="H17" s="210"/>
      <c r="I17" s="210"/>
      <c r="J17" s="210">
        <v>250</v>
      </c>
      <c r="K17" s="211">
        <v>190</v>
      </c>
      <c r="L17" s="212"/>
      <c r="M17" s="176">
        <f t="shared" ref="M17:M46" si="1">SUM(G17:L17)</f>
        <v>7440</v>
      </c>
      <c r="N17" s="250">
        <v>40</v>
      </c>
      <c r="O17" s="251">
        <f>1200+100+125+125+200+100+100+30+40+100+200+100+100+200+10+100+100+50+200+30+100+100+50+100+75+100+150+150+20+75+6+3+125+40+30+15+75+100+100+100+100+275+15+50+500+100+5+20+200</f>
        <v>5989</v>
      </c>
      <c r="P17" s="252"/>
      <c r="Q17" s="256">
        <f t="shared" ref="Q17:Q46" si="2">+N17+O17+P17</f>
        <v>6029</v>
      </c>
      <c r="R17" s="235"/>
      <c r="S17" s="214"/>
      <c r="T17" s="187">
        <f t="shared" ref="T17:T46" si="3">+S17+R17+Q17</f>
        <v>6029</v>
      </c>
      <c r="U17" s="183">
        <f t="shared" ref="U17:U46" si="4">+T17+M17+F17</f>
        <v>13469</v>
      </c>
      <c r="V17" s="215"/>
      <c r="W17" s="215"/>
    </row>
    <row r="18" spans="1:23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>
        <v>7000</v>
      </c>
      <c r="H18" s="210"/>
      <c r="I18" s="210"/>
      <c r="J18" s="210"/>
      <c r="K18" s="211"/>
      <c r="L18" s="212"/>
      <c r="M18" s="176">
        <f t="shared" si="1"/>
        <v>7000</v>
      </c>
      <c r="N18" s="250">
        <v>100</v>
      </c>
      <c r="O18" s="251">
        <v>650</v>
      </c>
      <c r="P18" s="252"/>
      <c r="Q18" s="256">
        <f t="shared" si="2"/>
        <v>750</v>
      </c>
      <c r="R18" s="213"/>
      <c r="S18" s="214"/>
      <c r="T18" s="187">
        <f t="shared" si="3"/>
        <v>750</v>
      </c>
      <c r="U18" s="183">
        <f t="shared" si="4"/>
        <v>7750</v>
      </c>
      <c r="V18" s="215"/>
      <c r="W18" s="215"/>
    </row>
    <row r="19" spans="1:23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>
        <v>7000</v>
      </c>
      <c r="H19" s="210"/>
      <c r="I19" s="210"/>
      <c r="J19" s="210"/>
      <c r="K19" s="211"/>
      <c r="L19" s="212"/>
      <c r="M19" s="176">
        <f t="shared" si="1"/>
        <v>7000</v>
      </c>
      <c r="N19" s="250">
        <v>100</v>
      </c>
      <c r="O19" s="251">
        <v>500</v>
      </c>
      <c r="P19" s="252"/>
      <c r="Q19" s="256">
        <f t="shared" si="2"/>
        <v>600</v>
      </c>
      <c r="R19" s="213"/>
      <c r="S19" s="214"/>
      <c r="T19" s="187">
        <f t="shared" si="3"/>
        <v>600</v>
      </c>
      <c r="U19" s="183">
        <f t="shared" si="4"/>
        <v>7600</v>
      </c>
      <c r="V19" s="215"/>
      <c r="W19" s="215"/>
    </row>
    <row r="20" spans="1:23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>
        <v>7000</v>
      </c>
      <c r="H20" s="210"/>
      <c r="I20" s="210"/>
      <c r="J20" s="210">
        <v>250</v>
      </c>
      <c r="K20" s="211">
        <v>190</v>
      </c>
      <c r="L20" s="212"/>
      <c r="M20" s="176">
        <f t="shared" si="1"/>
        <v>7440</v>
      </c>
      <c r="N20" s="250">
        <v>40</v>
      </c>
      <c r="O20" s="251">
        <f>1200+5+10+20+30+40+100+200+100+100+200+10+150+5+100+50+4+200+30+15+100+100+50+100+100+200+100+60+150+150+70+6+3+125+40+15+75+100+100+100+100+100+275+15+40+75+150+50+500</f>
        <v>5618</v>
      </c>
      <c r="P20" s="252"/>
      <c r="Q20" s="256">
        <f t="shared" si="2"/>
        <v>5658</v>
      </c>
      <c r="R20" s="213"/>
      <c r="S20" s="214"/>
      <c r="T20" s="187">
        <f t="shared" si="3"/>
        <v>5658</v>
      </c>
      <c r="U20" s="183">
        <f t="shared" si="4"/>
        <v>13098</v>
      </c>
      <c r="V20" s="215"/>
      <c r="W20" s="215"/>
    </row>
    <row r="21" spans="1:23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>
        <v>8000</v>
      </c>
      <c r="H21" s="210"/>
      <c r="I21" s="210"/>
      <c r="J21" s="210">
        <v>250</v>
      </c>
      <c r="K21" s="211">
        <v>190</v>
      </c>
      <c r="L21" s="212"/>
      <c r="M21" s="176">
        <f t="shared" si="1"/>
        <v>8440</v>
      </c>
      <c r="N21" s="250">
        <v>40</v>
      </c>
      <c r="O21" s="251">
        <f>1200+40+100+100+100+200+100+10+150+5+100+50+4+200+30+15+100+100+50+100+100+100+60+150+150+70+75+6+3+40+15+75+100+100+100+100+100+275+15+40+75+150+50+500+20+30+100</f>
        <v>5353</v>
      </c>
      <c r="P21" s="252"/>
      <c r="Q21" s="256">
        <f t="shared" si="2"/>
        <v>5393</v>
      </c>
      <c r="R21" s="213"/>
      <c r="S21" s="214"/>
      <c r="T21" s="187">
        <f t="shared" si="3"/>
        <v>5393</v>
      </c>
      <c r="U21" s="183">
        <f t="shared" si="4"/>
        <v>13833</v>
      </c>
      <c r="V21" s="215"/>
      <c r="W21" s="215"/>
    </row>
    <row r="22" spans="1:23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>
        <v>8000</v>
      </c>
      <c r="H22" s="210"/>
      <c r="I22" s="210"/>
      <c r="J22" s="210">
        <v>250</v>
      </c>
      <c r="K22" s="211">
        <v>190</v>
      </c>
      <c r="L22" s="212"/>
      <c r="M22" s="176">
        <f t="shared" si="1"/>
        <v>8440</v>
      </c>
      <c r="N22" s="250">
        <v>40</v>
      </c>
      <c r="O22" s="251">
        <f>1200+10+20+30+5+40+100+200+100+100+5+200+100+10+150+100+50+4+200+30+15+100+100+50+100+100+100+100+150+70+6+3+125+40+15+75+100+100+100+100+100+100+275+100+15+40+150+50+500</f>
        <v>5533</v>
      </c>
      <c r="P22" s="252"/>
      <c r="Q22" s="256">
        <f t="shared" si="2"/>
        <v>5573</v>
      </c>
      <c r="R22" s="213"/>
      <c r="S22" s="214"/>
      <c r="T22" s="187">
        <f t="shared" si="3"/>
        <v>5573</v>
      </c>
      <c r="U22" s="183">
        <f t="shared" si="4"/>
        <v>14013</v>
      </c>
      <c r="V22" s="215"/>
      <c r="W22" s="215"/>
    </row>
    <row r="23" spans="1:23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>
        <v>8000</v>
      </c>
      <c r="H23" s="210"/>
      <c r="I23" s="210"/>
      <c r="J23" s="210">
        <v>250</v>
      </c>
      <c r="K23" s="211">
        <v>190</v>
      </c>
      <c r="L23" s="212"/>
      <c r="M23" s="176">
        <f t="shared" si="1"/>
        <v>8440</v>
      </c>
      <c r="N23" s="250">
        <v>40</v>
      </c>
      <c r="O23" s="251">
        <f>1200+4048</f>
        <v>5248</v>
      </c>
      <c r="P23" s="252"/>
      <c r="Q23" s="256">
        <f t="shared" si="2"/>
        <v>5288</v>
      </c>
      <c r="R23" s="213"/>
      <c r="S23" s="214"/>
      <c r="T23" s="187">
        <f t="shared" si="3"/>
        <v>5288</v>
      </c>
      <c r="U23" s="183">
        <f t="shared" si="4"/>
        <v>13728</v>
      </c>
      <c r="V23" s="215"/>
      <c r="W23" s="215"/>
    </row>
    <row r="24" spans="1:23" ht="15" customHeight="1" thickBot="1" x14ac:dyDescent="0.35">
      <c r="B24" s="28">
        <v>9</v>
      </c>
      <c r="C24" s="216"/>
      <c r="D24" s="217"/>
      <c r="E24" s="218"/>
      <c r="F24" s="177">
        <f t="shared" si="0"/>
        <v>0</v>
      </c>
      <c r="G24" s="210">
        <v>8000</v>
      </c>
      <c r="H24" s="210"/>
      <c r="I24" s="210"/>
      <c r="J24" s="210">
        <v>250</v>
      </c>
      <c r="K24" s="211">
        <v>190</v>
      </c>
      <c r="L24" s="212"/>
      <c r="M24" s="176">
        <f t="shared" si="1"/>
        <v>8440</v>
      </c>
      <c r="N24" s="250">
        <v>40</v>
      </c>
      <c r="O24" s="251">
        <f>1200+500+100+20+50+75+40+15+275+100+100+100+100+100+100+75+15+40+125+3+6+75+70+150+150+75+100+100+100+50+100+100+15+5+30+200+4+50+100+150+10+100+200+100+100+200+100+40+30+10</f>
        <v>5653</v>
      </c>
      <c r="P24" s="252"/>
      <c r="Q24" s="256">
        <f t="shared" si="2"/>
        <v>5693</v>
      </c>
      <c r="R24" s="213"/>
      <c r="S24" s="214"/>
      <c r="T24" s="187">
        <f t="shared" si="3"/>
        <v>5693</v>
      </c>
      <c r="U24" s="183">
        <f t="shared" si="4"/>
        <v>14133</v>
      </c>
      <c r="V24"/>
      <c r="W24" s="215"/>
    </row>
    <row r="25" spans="1:23" ht="15" customHeight="1" thickBot="1" x14ac:dyDescent="0.35">
      <c r="A25" s="89" t="s">
        <v>234</v>
      </c>
      <c r="B25" s="26">
        <v>10</v>
      </c>
      <c r="C25" s="216"/>
      <c r="D25" s="217"/>
      <c r="E25" s="218"/>
      <c r="F25" s="177">
        <f t="shared" si="0"/>
        <v>0</v>
      </c>
      <c r="G25" s="210">
        <v>8000</v>
      </c>
      <c r="H25" s="210"/>
      <c r="I25" s="210">
        <v>100</v>
      </c>
      <c r="J25" s="210"/>
      <c r="K25" s="211"/>
      <c r="L25" s="212"/>
      <c r="M25" s="176">
        <f t="shared" si="1"/>
        <v>8100</v>
      </c>
      <c r="N25" s="250">
        <v>100</v>
      </c>
      <c r="O25" s="251">
        <f>500+5+150+150+80+100+200+100+80+300+125+200+100</f>
        <v>2090</v>
      </c>
      <c r="P25" s="252"/>
      <c r="Q25" s="256">
        <f t="shared" si="2"/>
        <v>2190</v>
      </c>
      <c r="R25" s="213"/>
      <c r="S25" s="214"/>
      <c r="T25" s="187">
        <f t="shared" si="3"/>
        <v>2190</v>
      </c>
      <c r="U25" s="183">
        <f t="shared" si="4"/>
        <v>10290</v>
      </c>
      <c r="V25"/>
      <c r="W25" s="215"/>
    </row>
    <row r="26" spans="1:23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>
        <v>8000</v>
      </c>
      <c r="H26" s="210"/>
      <c r="I26" s="210"/>
      <c r="J26" s="210"/>
      <c r="K26" s="211"/>
      <c r="L26" s="212"/>
      <c r="M26" s="176">
        <f t="shared" si="1"/>
        <v>8000</v>
      </c>
      <c r="N26" s="250">
        <v>100</v>
      </c>
      <c r="O26" s="251">
        <f>400+150+100+100+150+150+100+200+80+200+150+325+80+200+20+100+100+200+50+200</f>
        <v>3055</v>
      </c>
      <c r="P26" s="252"/>
      <c r="Q26" s="256">
        <f t="shared" si="2"/>
        <v>3155</v>
      </c>
      <c r="R26" s="213"/>
      <c r="S26" s="214"/>
      <c r="T26" s="187">
        <f t="shared" si="3"/>
        <v>3155</v>
      </c>
      <c r="U26" s="183">
        <f t="shared" si="4"/>
        <v>11155</v>
      </c>
      <c r="V26"/>
      <c r="W26" s="215"/>
    </row>
    <row r="27" spans="1:23" ht="15" customHeight="1" thickBot="1" x14ac:dyDescent="0.35">
      <c r="B27" s="28">
        <v>12</v>
      </c>
      <c r="C27" s="216"/>
      <c r="D27" s="217"/>
      <c r="E27" s="218"/>
      <c r="F27" s="177">
        <f t="shared" si="0"/>
        <v>0</v>
      </c>
      <c r="G27" s="210">
        <v>8000</v>
      </c>
      <c r="H27" s="210"/>
      <c r="I27" s="210"/>
      <c r="J27" s="210">
        <v>250</v>
      </c>
      <c r="K27" s="211">
        <v>190</v>
      </c>
      <c r="L27" s="212"/>
      <c r="M27" s="176">
        <f t="shared" si="1"/>
        <v>8440</v>
      </c>
      <c r="N27" s="250">
        <v>40</v>
      </c>
      <c r="O27" s="251">
        <f>1200+100+100+20+5+10+30+150+40+100+100+100+200+150+100+50+4+200+100+100+50+200+100+60+150+150+70+6+3+40+15+75+100+100+100+100+100+15+40+75+150+50+275+500</f>
        <v>5383</v>
      </c>
      <c r="P27" s="252"/>
      <c r="Q27" s="256">
        <f t="shared" si="2"/>
        <v>5423</v>
      </c>
      <c r="R27" s="213"/>
      <c r="S27" s="214"/>
      <c r="T27" s="187">
        <f t="shared" si="3"/>
        <v>5423</v>
      </c>
      <c r="U27" s="183">
        <f t="shared" si="4"/>
        <v>13863</v>
      </c>
      <c r="V27"/>
      <c r="W27" s="215"/>
    </row>
    <row r="28" spans="1:23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>
        <v>8000</v>
      </c>
      <c r="H28" s="210"/>
      <c r="I28" s="210"/>
      <c r="J28" s="210">
        <v>250</v>
      </c>
      <c r="K28" s="211">
        <v>190</v>
      </c>
      <c r="L28" s="212"/>
      <c r="M28" s="176">
        <f t="shared" si="1"/>
        <v>8440</v>
      </c>
      <c r="N28" s="250">
        <v>40</v>
      </c>
      <c r="O28" s="251">
        <f>1200+100+100+275+15+40+150+50+100+100+50+100+100+100+100+150+150+70+75+6+125+40+15+75+100+100+100+100+100+200+100+150+5+100+50+200+30+15+5+20+30+100+500</f>
        <v>5291</v>
      </c>
      <c r="P28" s="252"/>
      <c r="Q28" s="256">
        <f t="shared" si="2"/>
        <v>5331</v>
      </c>
      <c r="R28" s="213"/>
      <c r="S28" s="214"/>
      <c r="T28" s="187">
        <f t="shared" si="3"/>
        <v>5331</v>
      </c>
      <c r="U28" s="183">
        <f t="shared" si="4"/>
        <v>13771</v>
      </c>
      <c r="V28"/>
      <c r="W28" s="215"/>
    </row>
    <row r="29" spans="1:23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>
        <v>8000</v>
      </c>
      <c r="H29" s="210"/>
      <c r="I29" s="210"/>
      <c r="J29" s="210">
        <v>250</v>
      </c>
      <c r="K29" s="211">
        <v>190</v>
      </c>
      <c r="L29" s="212"/>
      <c r="M29" s="176">
        <f t="shared" si="1"/>
        <v>8440</v>
      </c>
      <c r="N29" s="250">
        <v>40</v>
      </c>
      <c r="O29" s="251">
        <f>1200+5+5+10+30+40+100+200+100+100+100+200+100+10+150+60+100+50+4+200+30+15+100+100+50+100+100+100+100+150+500+150+70+6+125+40+15+75+100+100+100+100+100+100+275+100+15+40+75+150+50</f>
        <v>5895</v>
      </c>
      <c r="P29" s="252"/>
      <c r="Q29" s="256">
        <f t="shared" si="2"/>
        <v>5935</v>
      </c>
      <c r="R29" s="213"/>
      <c r="S29" s="214"/>
      <c r="T29" s="187">
        <f t="shared" si="3"/>
        <v>5935</v>
      </c>
      <c r="U29" s="183">
        <f t="shared" si="4"/>
        <v>14375</v>
      </c>
      <c r="V29"/>
      <c r="W29" s="215"/>
    </row>
    <row r="30" spans="1:23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>
        <v>8000</v>
      </c>
      <c r="H30" s="210"/>
      <c r="I30" s="210"/>
      <c r="J30" s="210">
        <v>250</v>
      </c>
      <c r="K30" s="211">
        <v>190</v>
      </c>
      <c r="L30" s="212"/>
      <c r="M30" s="176">
        <f t="shared" si="1"/>
        <v>8440</v>
      </c>
      <c r="N30" s="250">
        <v>40</v>
      </c>
      <c r="O30" s="251">
        <f>1200+5+20+125+20+5+150+10+30+40+100+100+100+100+200+100+10+5+100+50+4+200+30+100+100+50+100+100+100+60+150+150+70+6+3+125+40+15+75+100+100+100+100+100+275+15+40+150+50+500</f>
        <v>5478</v>
      </c>
      <c r="P30" s="252"/>
      <c r="Q30" s="256">
        <f t="shared" si="2"/>
        <v>5518</v>
      </c>
      <c r="R30" s="213"/>
      <c r="S30" s="214"/>
      <c r="T30" s="187">
        <f t="shared" si="3"/>
        <v>5518</v>
      </c>
      <c r="U30" s="183">
        <f t="shared" si="4"/>
        <v>13958</v>
      </c>
      <c r="V30"/>
      <c r="W30" s="215"/>
    </row>
    <row r="31" spans="1:23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>
        <v>8000</v>
      </c>
      <c r="H31" s="210"/>
      <c r="I31" s="210"/>
      <c r="J31" s="210">
        <v>250</v>
      </c>
      <c r="K31" s="211">
        <v>190</v>
      </c>
      <c r="L31" s="212"/>
      <c r="M31" s="176">
        <f t="shared" si="1"/>
        <v>8440</v>
      </c>
      <c r="N31" s="250">
        <v>40</v>
      </c>
      <c r="O31" s="251">
        <f>1200+15+200+5+10+30+40+100+100+100+100+200+100+6+100+50+4+200+100+100+50+100+100+75+100+150+150+70+75+6+40+15+75+100+100+100+100+100+100+275+15+40+75+50+500</f>
        <v>5321</v>
      </c>
      <c r="P31" s="252"/>
      <c r="Q31" s="256">
        <f t="shared" si="2"/>
        <v>5361</v>
      </c>
      <c r="R31" s="213"/>
      <c r="S31" s="214"/>
      <c r="T31" s="187">
        <f t="shared" si="3"/>
        <v>5361</v>
      </c>
      <c r="U31" s="183">
        <f t="shared" si="4"/>
        <v>13801</v>
      </c>
      <c r="V31"/>
      <c r="W31" s="215"/>
    </row>
    <row r="32" spans="1:23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>
        <v>8000</v>
      </c>
      <c r="H32" s="210"/>
      <c r="I32" s="210"/>
      <c r="J32" s="210"/>
      <c r="K32" s="211"/>
      <c r="L32" s="212"/>
      <c r="M32" s="176">
        <f t="shared" si="1"/>
        <v>8000</v>
      </c>
      <c r="N32" s="250">
        <v>100</v>
      </c>
      <c r="O32" s="251">
        <v>650</v>
      </c>
      <c r="P32" s="252"/>
      <c r="Q32" s="256">
        <f t="shared" si="2"/>
        <v>750</v>
      </c>
      <c r="R32" s="213"/>
      <c r="S32" s="214"/>
      <c r="T32" s="187">
        <f t="shared" si="3"/>
        <v>750</v>
      </c>
      <c r="U32" s="183">
        <f t="shared" si="4"/>
        <v>8750</v>
      </c>
      <c r="V32" s="215"/>
      <c r="W32" s="215"/>
    </row>
    <row r="33" spans="2:23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>
        <v>8000</v>
      </c>
      <c r="H33" s="210"/>
      <c r="I33" s="210"/>
      <c r="J33" s="210"/>
      <c r="K33" s="211"/>
      <c r="L33" s="212"/>
      <c r="M33" s="176">
        <f t="shared" si="1"/>
        <v>8000</v>
      </c>
      <c r="N33" s="250">
        <v>100</v>
      </c>
      <c r="O33" s="251">
        <v>500</v>
      </c>
      <c r="P33" s="252"/>
      <c r="Q33" s="256">
        <f t="shared" si="2"/>
        <v>600</v>
      </c>
      <c r="R33" s="213"/>
      <c r="S33" s="214"/>
      <c r="T33" s="187">
        <f t="shared" si="3"/>
        <v>600</v>
      </c>
      <c r="U33" s="183">
        <f t="shared" si="4"/>
        <v>8600</v>
      </c>
      <c r="V33" s="215"/>
      <c r="W33" s="215"/>
    </row>
    <row r="34" spans="2:23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>
        <v>8000</v>
      </c>
      <c r="H34" s="210"/>
      <c r="I34" s="210"/>
      <c r="J34" s="210"/>
      <c r="K34" s="211">
        <v>190</v>
      </c>
      <c r="L34" s="212"/>
      <c r="M34" s="176">
        <f t="shared" si="1"/>
        <v>8190</v>
      </c>
      <c r="N34" s="250">
        <v>40</v>
      </c>
      <c r="O34" s="251">
        <f>130+52+195+260+50+100+100+100+200+70+60+30+150+150+100+100+100+10+260+3+390+520+130+260+130+130+130+390+5+100+40+130+130+130+130+208+195+1300</f>
        <v>6668</v>
      </c>
      <c r="P34" s="252"/>
      <c r="Q34" s="256">
        <f t="shared" si="2"/>
        <v>6708</v>
      </c>
      <c r="R34" s="213"/>
      <c r="S34" s="214"/>
      <c r="T34" s="187">
        <f t="shared" si="3"/>
        <v>6708</v>
      </c>
      <c r="U34" s="183">
        <f t="shared" si="4"/>
        <v>14898</v>
      </c>
      <c r="V34" s="215"/>
      <c r="W34" s="215"/>
    </row>
    <row r="35" spans="2:23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>
        <v>8000</v>
      </c>
      <c r="H35" s="210"/>
      <c r="I35" s="210"/>
      <c r="J35" s="210">
        <v>250</v>
      </c>
      <c r="K35" s="211">
        <v>190</v>
      </c>
      <c r="L35" s="212"/>
      <c r="M35" s="176">
        <f t="shared" si="1"/>
        <v>8440</v>
      </c>
      <c r="N35" s="250">
        <v>40</v>
      </c>
      <c r="O35" s="251">
        <f>50+100+250+40+5+10+30+100+100+200+150+5+455+650+1300+260+100+100+500+50+150+15+75+275+100+100+100+100+100+75+15+125+3+6+75+70+150+150+60+100+100+50+100+100+260+5+30+200+4+650+390+130+1300</f>
        <v>9618</v>
      </c>
      <c r="P35" s="252"/>
      <c r="Q35" s="256">
        <f t="shared" si="2"/>
        <v>9658</v>
      </c>
      <c r="R35" s="213"/>
      <c r="S35" s="214"/>
      <c r="T35" s="187">
        <f t="shared" si="3"/>
        <v>9658</v>
      </c>
      <c r="U35" s="183">
        <f t="shared" si="4"/>
        <v>18098</v>
      </c>
      <c r="V35" s="215"/>
      <c r="W35" s="215"/>
    </row>
    <row r="36" spans="2:23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>
        <v>8000</v>
      </c>
      <c r="H36" s="210"/>
      <c r="I36" s="210"/>
      <c r="J36" s="210">
        <v>250</v>
      </c>
      <c r="K36" s="211">
        <v>190</v>
      </c>
      <c r="L36" s="212"/>
      <c r="M36" s="176">
        <f t="shared" si="1"/>
        <v>8440</v>
      </c>
      <c r="N36" s="250">
        <v>40</v>
      </c>
      <c r="O36" s="251">
        <f>1750+350+5+10+30+40+100+100+100+100+200+150+100+50+200+30+100+100+50+100+150+150+70+6+3+125+40+75+15+100+100+100+100+100+100+275+100+15+40+150+50+500+100+5+300+400+250+300</f>
        <v>7384</v>
      </c>
      <c r="P36" s="252"/>
      <c r="Q36" s="256">
        <f t="shared" si="2"/>
        <v>7424</v>
      </c>
      <c r="R36" s="213"/>
      <c r="S36" s="214"/>
      <c r="T36" s="187">
        <f t="shared" si="3"/>
        <v>7424</v>
      </c>
      <c r="U36" s="183">
        <f t="shared" si="4"/>
        <v>15864</v>
      </c>
      <c r="V36" s="215"/>
      <c r="W36" s="215"/>
    </row>
    <row r="37" spans="2:23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>
        <v>8000</v>
      </c>
      <c r="H37" s="210"/>
      <c r="I37" s="210"/>
      <c r="J37" s="210">
        <v>250</v>
      </c>
      <c r="K37" s="211">
        <v>190</v>
      </c>
      <c r="L37" s="212"/>
      <c r="M37" s="176">
        <f t="shared" si="1"/>
        <v>8440</v>
      </c>
      <c r="N37" s="250">
        <v>40</v>
      </c>
      <c r="O37" s="251">
        <f>1300+125+40+100+50+100+100+15+75+100+100+100+100+100+100+60+150+150+70+6+3+275+15+75+150+50+500+10+5+10+30+40+100+100+100+200+150+100+50+4+200+30+100+390+98+455+130</f>
        <v>6311</v>
      </c>
      <c r="P37" s="252"/>
      <c r="Q37" s="256">
        <f t="shared" si="2"/>
        <v>6351</v>
      </c>
      <c r="R37" s="213"/>
      <c r="S37" s="214"/>
      <c r="T37" s="187">
        <f t="shared" si="3"/>
        <v>6351</v>
      </c>
      <c r="U37" s="183">
        <f t="shared" si="4"/>
        <v>14791</v>
      </c>
      <c r="V37" s="215"/>
      <c r="W37" s="215"/>
    </row>
    <row r="38" spans="2:23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>
        <v>8000</v>
      </c>
      <c r="H38" s="210"/>
      <c r="I38" s="210"/>
      <c r="J38" s="210">
        <v>250</v>
      </c>
      <c r="K38" s="211">
        <v>190</v>
      </c>
      <c r="L38" s="212"/>
      <c r="M38" s="176">
        <f t="shared" si="1"/>
        <v>8440</v>
      </c>
      <c r="N38" s="250">
        <v>40</v>
      </c>
      <c r="O38" s="251">
        <f>500+75+20+15+275+100+100+100+100+100+100+75+15+40+125+6+3+75+70+150+150+75+50+100+100+200+100+100+30+5+50+4+100+150+10+100+200+100+40+30+5+500+100+50+455+500+500+1300</f>
        <v>7148</v>
      </c>
      <c r="P38" s="252"/>
      <c r="Q38" s="256">
        <f t="shared" si="2"/>
        <v>7188</v>
      </c>
      <c r="R38" s="213"/>
      <c r="S38" s="214"/>
      <c r="T38" s="187">
        <f t="shared" si="3"/>
        <v>7188</v>
      </c>
      <c r="U38" s="183">
        <f t="shared" si="4"/>
        <v>15628</v>
      </c>
      <c r="V38" s="215"/>
      <c r="W38" s="215"/>
    </row>
    <row r="39" spans="2:23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>
        <v>8000</v>
      </c>
      <c r="H39" s="210"/>
      <c r="I39" s="210"/>
      <c r="J39" s="210"/>
      <c r="K39" s="211"/>
      <c r="L39" s="212"/>
      <c r="M39" s="176">
        <f t="shared" si="1"/>
        <v>8000</v>
      </c>
      <c r="N39" s="250">
        <v>100</v>
      </c>
      <c r="O39" s="251">
        <v>800</v>
      </c>
      <c r="P39" s="252"/>
      <c r="Q39" s="256">
        <f t="shared" si="2"/>
        <v>900</v>
      </c>
      <c r="R39" s="213"/>
      <c r="S39" s="214"/>
      <c r="T39" s="187">
        <f t="shared" si="3"/>
        <v>900</v>
      </c>
      <c r="U39" s="183">
        <f t="shared" si="4"/>
        <v>8900</v>
      </c>
      <c r="V39" s="215"/>
      <c r="W39" s="215"/>
    </row>
    <row r="40" spans="2:23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>
        <v>8000</v>
      </c>
      <c r="H40" s="210"/>
      <c r="I40" s="210"/>
      <c r="J40" s="210"/>
      <c r="K40" s="211"/>
      <c r="L40" s="212"/>
      <c r="M40" s="176">
        <f t="shared" si="1"/>
        <v>8000</v>
      </c>
      <c r="N40" s="250">
        <v>100</v>
      </c>
      <c r="O40" s="251">
        <v>500</v>
      </c>
      <c r="P40" s="252"/>
      <c r="Q40" s="256">
        <f t="shared" si="2"/>
        <v>600</v>
      </c>
      <c r="R40" s="213"/>
      <c r="S40" s="214"/>
      <c r="T40" s="187">
        <f t="shared" si="3"/>
        <v>600</v>
      </c>
      <c r="U40" s="183">
        <f t="shared" si="4"/>
        <v>8600</v>
      </c>
      <c r="V40" s="215"/>
      <c r="W40" s="215"/>
    </row>
    <row r="41" spans="2:23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>
        <v>8000</v>
      </c>
      <c r="H41" s="210"/>
      <c r="I41" s="210"/>
      <c r="J41" s="210">
        <v>250</v>
      </c>
      <c r="K41" s="211">
        <v>190</v>
      </c>
      <c r="L41" s="212"/>
      <c r="M41" s="176">
        <f t="shared" si="1"/>
        <v>8440</v>
      </c>
      <c r="N41" s="250">
        <v>40</v>
      </c>
      <c r="O41" s="251">
        <f>1300+5+100+20+500+500+500+10+30+40+100+100+100+200+150+100+50+200+30+100+100+100+50+100+100+200+100+60+150+150+70+6+3+125+40+15+75+100+100+100+100+100+275+15+40+75+150+50+500</f>
        <v>7184</v>
      </c>
      <c r="P41" s="252"/>
      <c r="Q41" s="256">
        <f t="shared" si="2"/>
        <v>7224</v>
      </c>
      <c r="R41" s="213"/>
      <c r="S41" s="214"/>
      <c r="T41" s="187">
        <f t="shared" si="3"/>
        <v>7224</v>
      </c>
      <c r="U41" s="183">
        <f t="shared" si="4"/>
        <v>15664</v>
      </c>
      <c r="V41" s="215"/>
      <c r="W41" s="215"/>
    </row>
    <row r="42" spans="2:23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>
        <v>8000</v>
      </c>
      <c r="H42" s="210"/>
      <c r="I42" s="210"/>
      <c r="J42" s="210">
        <v>250</v>
      </c>
      <c r="K42" s="211">
        <v>190</v>
      </c>
      <c r="L42" s="212"/>
      <c r="M42" s="176">
        <f t="shared" si="1"/>
        <v>8440</v>
      </c>
      <c r="N42" s="250">
        <v>40</v>
      </c>
      <c r="O42" s="251">
        <f>500+500+100+5+10+30+40+100+100+100+200+150+100+50+200+100+100+50+100+100+60+150+150+70+75+6+3+125+40+15+100+100+100+100+100+275+20+15+40+75+150+50+500+75+100+10+500+250+1300</f>
        <v>7189</v>
      </c>
      <c r="P42" s="252"/>
      <c r="Q42" s="256">
        <f t="shared" si="2"/>
        <v>7229</v>
      </c>
      <c r="R42" s="213"/>
      <c r="S42" s="214"/>
      <c r="T42" s="187">
        <f t="shared" si="3"/>
        <v>7229</v>
      </c>
      <c r="U42" s="183">
        <f t="shared" si="4"/>
        <v>15669</v>
      </c>
      <c r="V42" s="215"/>
      <c r="W42" s="215"/>
    </row>
    <row r="43" spans="2:23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>
        <v>8000</v>
      </c>
      <c r="H43" s="210"/>
      <c r="I43" s="210"/>
      <c r="J43" s="210">
        <v>250</v>
      </c>
      <c r="K43" s="211">
        <v>190</v>
      </c>
      <c r="L43" s="212"/>
      <c r="M43" s="176">
        <f t="shared" si="1"/>
        <v>8440</v>
      </c>
      <c r="N43" s="250">
        <v>40</v>
      </c>
      <c r="O43" s="251">
        <f>1300+50+100+5+10+30+40+100+200+100+100+200+150+100+50+200+100+100+50+100+100+100+150+150+70+6+3+40+15+75+100+100+100+100+100+100+275+15+40+75+150+500+10+100+20+500+500+500</f>
        <v>7079</v>
      </c>
      <c r="P43" s="252"/>
      <c r="Q43" s="256">
        <f t="shared" si="2"/>
        <v>7119</v>
      </c>
      <c r="R43" s="213"/>
      <c r="S43" s="214"/>
      <c r="T43" s="187">
        <f t="shared" si="3"/>
        <v>7119</v>
      </c>
      <c r="U43" s="183">
        <f t="shared" si="4"/>
        <v>15559</v>
      </c>
      <c r="V43" s="215"/>
      <c r="W43" s="215"/>
    </row>
    <row r="44" spans="2:23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>
        <v>8000</v>
      </c>
      <c r="H44" s="210"/>
      <c r="I44" s="210"/>
      <c r="J44" s="210">
        <v>250</v>
      </c>
      <c r="K44" s="211">
        <v>190</v>
      </c>
      <c r="L44" s="212"/>
      <c r="M44" s="176">
        <f t="shared" si="1"/>
        <v>8440</v>
      </c>
      <c r="N44" s="250">
        <v>40</v>
      </c>
      <c r="O44" s="251">
        <f>1300+100+500+500+500+20+100+5+10+30+40+100+100+100+100+200+150+10+100+50+200+30+100+100+50+100+100+100+60+150+150+70+6+3+125+40+15+75+100+100+100+100+275+15+40+150+50+500</f>
        <v>6919</v>
      </c>
      <c r="P44" s="252"/>
      <c r="Q44" s="256">
        <f t="shared" si="2"/>
        <v>6959</v>
      </c>
      <c r="R44" s="213"/>
      <c r="S44" s="214"/>
      <c r="T44" s="187">
        <f t="shared" si="3"/>
        <v>6959</v>
      </c>
      <c r="U44" s="183">
        <f t="shared" si="4"/>
        <v>15399</v>
      </c>
      <c r="V44" s="215"/>
      <c r="W44" s="215"/>
    </row>
    <row r="45" spans="2:23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>
        <v>8000</v>
      </c>
      <c r="H45" s="210"/>
      <c r="I45" s="210"/>
      <c r="J45" s="210">
        <v>250</v>
      </c>
      <c r="K45" s="211">
        <v>190</v>
      </c>
      <c r="L45" s="212"/>
      <c r="M45" s="176">
        <f t="shared" si="1"/>
        <v>8440</v>
      </c>
      <c r="N45" s="250">
        <v>40</v>
      </c>
      <c r="O45" s="251">
        <f>1300+10+10+100+500+500+500+50+5+10+30+40+100+100+100+100+200+150+100+50+200+30+100+100+50+100+100+75+100+150+150+70+75+6+3+125+40+15+75+100+100+100+100+100+100+275+15+75+50+500</f>
        <v>7034</v>
      </c>
      <c r="P45" s="252"/>
      <c r="Q45" s="256">
        <f t="shared" si="2"/>
        <v>7074</v>
      </c>
      <c r="R45" s="213"/>
      <c r="S45" s="214"/>
      <c r="T45" s="187">
        <f t="shared" si="3"/>
        <v>7074</v>
      </c>
      <c r="U45" s="183">
        <f t="shared" si="4"/>
        <v>15514</v>
      </c>
      <c r="V45" s="215"/>
      <c r="W45" s="215"/>
    </row>
    <row r="46" spans="2:23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0"/>
      <c r="I46" s="210"/>
      <c r="J46" s="210"/>
      <c r="K46" s="211"/>
      <c r="L46" s="212"/>
      <c r="M46" s="176">
        <f t="shared" si="1"/>
        <v>0</v>
      </c>
      <c r="N46" s="250"/>
      <c r="O46" s="251"/>
      <c r="P46" s="252"/>
      <c r="Q46" s="256">
        <f t="shared" si="2"/>
        <v>0</v>
      </c>
      <c r="R46" s="213"/>
      <c r="S46" s="214"/>
      <c r="T46" s="187">
        <f t="shared" si="3"/>
        <v>0</v>
      </c>
      <c r="U46" s="183">
        <f t="shared" si="4"/>
        <v>0</v>
      </c>
      <c r="V46" s="215"/>
      <c r="W46" s="215"/>
    </row>
    <row r="47" spans="2:23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"/>
      <c r="W47" s="202"/>
    </row>
    <row r="48" spans="2:23" ht="15" customHeight="1" thickBot="1" x14ac:dyDescent="0.35">
      <c r="B48" s="42" t="s">
        <v>1</v>
      </c>
      <c r="C48" s="41"/>
      <c r="D48" s="178">
        <f>SUM(D16:D46)</f>
        <v>0</v>
      </c>
      <c r="E48" s="179">
        <f>SUM(E16:E46)</f>
        <v>0</v>
      </c>
      <c r="F48" s="172">
        <f>SUM(F16:F46)</f>
        <v>0</v>
      </c>
      <c r="G48" s="180">
        <f t="shared" ref="G48:L48" si="5">SUM(G16:G46)</f>
        <v>235000</v>
      </c>
      <c r="H48" s="180">
        <f t="shared" si="5"/>
        <v>0</v>
      </c>
      <c r="I48" s="180">
        <f t="shared" si="5"/>
        <v>100</v>
      </c>
      <c r="J48" s="180">
        <f t="shared" si="5"/>
        <v>5250</v>
      </c>
      <c r="K48" s="181">
        <f t="shared" si="5"/>
        <v>4180</v>
      </c>
      <c r="L48" s="182">
        <f t="shared" si="5"/>
        <v>0</v>
      </c>
      <c r="M48" s="175">
        <f t="shared" ref="M48:U48" si="6">SUM(M16:M46)</f>
        <v>244530</v>
      </c>
      <c r="N48" s="261">
        <f t="shared" si="6"/>
        <v>1680</v>
      </c>
      <c r="O48" s="259">
        <f t="shared" si="6"/>
        <v>147229</v>
      </c>
      <c r="P48" s="260">
        <f t="shared" si="6"/>
        <v>0</v>
      </c>
      <c r="Q48" s="258">
        <f t="shared" si="6"/>
        <v>148909</v>
      </c>
      <c r="R48" s="195">
        <f t="shared" si="6"/>
        <v>0</v>
      </c>
      <c r="S48" s="195">
        <f t="shared" si="6"/>
        <v>0</v>
      </c>
      <c r="T48" s="194">
        <f t="shared" si="6"/>
        <v>148909</v>
      </c>
      <c r="U48" s="184">
        <f t="shared" si="6"/>
        <v>393439</v>
      </c>
      <c r="V48" s="22"/>
      <c r="W48" s="202"/>
    </row>
    <row r="49" spans="2:21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4"/>
      <c r="U49" s="16"/>
    </row>
    <row r="50" spans="2:21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</row>
    <row r="51" spans="2:21" ht="15" customHeight="1" x14ac:dyDescent="0.3">
      <c r="U51" s="228"/>
    </row>
    <row r="52" spans="2:21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</row>
    <row r="53" spans="2:21" ht="15" customHeight="1" x14ac:dyDescent="0.3"/>
    <row r="54" spans="2:21" ht="15" customHeight="1" x14ac:dyDescent="0.3">
      <c r="Q54" s="215"/>
      <c r="R54" s="215"/>
      <c r="U54" s="215"/>
    </row>
    <row r="55" spans="2:21" ht="15" customHeight="1" x14ac:dyDescent="0.3"/>
    <row r="56" spans="2:21" ht="15" customHeight="1" x14ac:dyDescent="0.3"/>
    <row r="57" spans="2:21" ht="15" customHeight="1" x14ac:dyDescent="0.3"/>
    <row r="58" spans="2:21" ht="15" customHeight="1" x14ac:dyDescent="0.3"/>
    <row r="59" spans="2:21" ht="15" customHeight="1" x14ac:dyDescent="0.3"/>
    <row r="60" spans="2:21" ht="15" customHeight="1" x14ac:dyDescent="0.3"/>
    <row r="61" spans="2:21" ht="15" customHeight="1" x14ac:dyDescent="0.3"/>
    <row r="62" spans="2:21" ht="15" customHeight="1" x14ac:dyDescent="0.3"/>
    <row r="63" spans="2:21" ht="15" customHeight="1" x14ac:dyDescent="0.3"/>
    <row r="64" spans="2:21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N12"/>
    <mergeCell ref="N14:T14"/>
    <mergeCell ref="A7:T7"/>
    <mergeCell ref="A8:T8"/>
    <mergeCell ref="A9:T9"/>
    <mergeCell ref="D14:F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7" zoomScale="63" zoomScaleNormal="63" workbookViewId="0">
      <pane xSplit="1" topLeftCell="B1" activePane="topRight" state="frozen"/>
      <selection activeCell="R13" sqref="R13"/>
      <selection pane="topRight"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62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21</v>
      </c>
      <c r="L16" s="251">
        <f>985+250+200+20+15+12+12+6</f>
        <v>1500</v>
      </c>
      <c r="M16" s="252"/>
      <c r="N16" s="256">
        <f>+K16+L16+M16</f>
        <v>1521</v>
      </c>
      <c r="O16" s="235"/>
      <c r="P16" s="234"/>
      <c r="Q16" s="187">
        <f>+P16+O16+N16</f>
        <v>1521</v>
      </c>
      <c r="R16" s="183">
        <f>+Q16+J16+F16</f>
        <v>1521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19</v>
      </c>
      <c r="L17" s="251">
        <f>1175+250+20+15+100+12+14+6</f>
        <v>1592</v>
      </c>
      <c r="M17" s="252"/>
      <c r="N17" s="256">
        <f t="shared" ref="N17:N46" si="2">+K17+L17+M17</f>
        <v>1611</v>
      </c>
      <c r="O17" s="213"/>
      <c r="P17" s="214"/>
      <c r="Q17" s="187">
        <f t="shared" ref="Q17:Q46" si="3">+P17+O17+N17</f>
        <v>1611</v>
      </c>
      <c r="R17" s="183">
        <f t="shared" ref="R17:R46" si="4">+Q17+J17+F17</f>
        <v>1611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19</v>
      </c>
      <c r="L20" s="251">
        <f>1205+250+20+15+12+12+6+8</f>
        <v>1528</v>
      </c>
      <c r="M20" s="252"/>
      <c r="N20" s="256">
        <f t="shared" si="2"/>
        <v>1547</v>
      </c>
      <c r="O20" s="213"/>
      <c r="P20" s="214"/>
      <c r="Q20" s="187">
        <f t="shared" si="3"/>
        <v>1547</v>
      </c>
      <c r="R20" s="183">
        <f t="shared" si="4"/>
        <v>1547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21</v>
      </c>
      <c r="L21" s="251">
        <f>1211+250+20+15+12+14+8+6</f>
        <v>1536</v>
      </c>
      <c r="M21" s="252"/>
      <c r="N21" s="256">
        <f t="shared" si="2"/>
        <v>1557</v>
      </c>
      <c r="O21" s="213"/>
      <c r="P21" s="214"/>
      <c r="Q21" s="187">
        <f t="shared" si="3"/>
        <v>1557</v>
      </c>
      <c r="R21" s="183">
        <f t="shared" si="4"/>
        <v>1557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22</v>
      </c>
      <c r="L22" s="251">
        <f>1129+250+20+50+15+12+10+8+6</f>
        <v>1500</v>
      </c>
      <c r="M22" s="252"/>
      <c r="N22" s="256">
        <f t="shared" si="2"/>
        <v>1522</v>
      </c>
      <c r="O22" s="213"/>
      <c r="P22" s="214"/>
      <c r="Q22" s="187">
        <f t="shared" si="3"/>
        <v>1522</v>
      </c>
      <c r="R22" s="183">
        <f t="shared" si="4"/>
        <v>1522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21</v>
      </c>
      <c r="L23" s="251">
        <f>1124+250+150+20+15+15+12+8+6</f>
        <v>1600</v>
      </c>
      <c r="M23" s="252"/>
      <c r="N23" s="256">
        <f t="shared" si="2"/>
        <v>1621</v>
      </c>
      <c r="O23" s="213"/>
      <c r="P23" s="214"/>
      <c r="Q23" s="187">
        <f t="shared" si="3"/>
        <v>1621</v>
      </c>
      <c r="R23" s="183">
        <f t="shared" si="4"/>
        <v>1621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20</v>
      </c>
      <c r="L24" s="251">
        <f>1111+300+250+20+100+15+12+10+8+6</f>
        <v>1832</v>
      </c>
      <c r="M24" s="252"/>
      <c r="N24" s="256">
        <f t="shared" si="2"/>
        <v>1852</v>
      </c>
      <c r="O24" s="213"/>
      <c r="P24" s="214"/>
      <c r="Q24" s="187">
        <f t="shared" si="3"/>
        <v>1852</v>
      </c>
      <c r="R24" s="183">
        <f t="shared" si="4"/>
        <v>1852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13</v>
      </c>
      <c r="L25" s="251">
        <f>130+100+200+75+25+20</f>
        <v>550</v>
      </c>
      <c r="M25" s="252"/>
      <c r="N25" s="256">
        <f t="shared" si="2"/>
        <v>563</v>
      </c>
      <c r="O25" s="213"/>
      <c r="P25" s="214"/>
      <c r="Q25" s="187">
        <f t="shared" si="3"/>
        <v>563</v>
      </c>
      <c r="R25" s="183">
        <f t="shared" si="4"/>
        <v>563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6</v>
      </c>
      <c r="L26" s="251">
        <v>130</v>
      </c>
      <c r="M26" s="252"/>
      <c r="N26" s="256">
        <f t="shared" si="2"/>
        <v>136</v>
      </c>
      <c r="O26" s="213"/>
      <c r="P26" s="214"/>
      <c r="Q26" s="187">
        <f t="shared" si="3"/>
        <v>136</v>
      </c>
      <c r="R26" s="183">
        <f t="shared" si="4"/>
        <v>136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21</v>
      </c>
      <c r="L27" s="251">
        <f>1179+250+20+15+12+10+8+6</f>
        <v>1500</v>
      </c>
      <c r="M27" s="252"/>
      <c r="N27" s="256">
        <f t="shared" si="2"/>
        <v>1521</v>
      </c>
      <c r="O27" s="213"/>
      <c r="P27" s="214"/>
      <c r="Q27" s="187">
        <f t="shared" si="3"/>
        <v>1521</v>
      </c>
      <c r="R27" s="183">
        <f t="shared" si="4"/>
        <v>1521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23</v>
      </c>
      <c r="L28" s="251">
        <f>1274+250+20+15+15+12+8+6</f>
        <v>1600</v>
      </c>
      <c r="M28" s="252"/>
      <c r="N28" s="256">
        <f t="shared" si="2"/>
        <v>1623</v>
      </c>
      <c r="O28" s="213"/>
      <c r="P28" s="214"/>
      <c r="Q28" s="187">
        <f t="shared" si="3"/>
        <v>1623</v>
      </c>
      <c r="R28" s="183">
        <f t="shared" si="4"/>
        <v>1623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22</v>
      </c>
      <c r="L29" s="251">
        <f>1127+250+50+20+15+12+12+8+6</f>
        <v>1500</v>
      </c>
      <c r="M29" s="252"/>
      <c r="N29" s="256">
        <f t="shared" si="2"/>
        <v>1522</v>
      </c>
      <c r="O29" s="213"/>
      <c r="P29" s="214"/>
      <c r="Q29" s="187">
        <f t="shared" si="3"/>
        <v>1522</v>
      </c>
      <c r="R29" s="183">
        <f t="shared" si="4"/>
        <v>1522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21</v>
      </c>
      <c r="L30" s="251">
        <f>1181+250+20+15+12+12+8+6</f>
        <v>1504</v>
      </c>
      <c r="M30" s="252"/>
      <c r="N30" s="256">
        <f t="shared" si="2"/>
        <v>1525</v>
      </c>
      <c r="O30" s="213"/>
      <c r="P30" s="214"/>
      <c r="Q30" s="187">
        <f t="shared" si="3"/>
        <v>1525</v>
      </c>
      <c r="R30" s="183">
        <f t="shared" si="4"/>
        <v>1525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21</v>
      </c>
      <c r="L31" s="251">
        <f>1175+250+100+20+15+14+12+8+6</f>
        <v>1600</v>
      </c>
      <c r="M31" s="252"/>
      <c r="N31" s="256">
        <f t="shared" si="2"/>
        <v>1621</v>
      </c>
      <c r="O31" s="213"/>
      <c r="P31" s="214"/>
      <c r="Q31" s="187">
        <f t="shared" si="3"/>
        <v>1621</v>
      </c>
      <c r="R31" s="183">
        <f t="shared" si="4"/>
        <v>1621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20</v>
      </c>
      <c r="L34" s="251">
        <f>730+250+20</f>
        <v>1000</v>
      </c>
      <c r="M34" s="252"/>
      <c r="N34" s="256">
        <f t="shared" si="2"/>
        <v>1020</v>
      </c>
      <c r="O34" s="213"/>
      <c r="P34" s="214"/>
      <c r="Q34" s="187">
        <f t="shared" si="3"/>
        <v>1020</v>
      </c>
      <c r="R34" s="183">
        <f t="shared" si="4"/>
        <v>1020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22</v>
      </c>
      <c r="L35" s="251">
        <f>1194+250+20+15+15+12+8+6</f>
        <v>1520</v>
      </c>
      <c r="M35" s="252"/>
      <c r="N35" s="256">
        <f t="shared" si="2"/>
        <v>1542</v>
      </c>
      <c r="O35" s="213"/>
      <c r="P35" s="214"/>
      <c r="Q35" s="187">
        <f t="shared" si="3"/>
        <v>1542</v>
      </c>
      <c r="R35" s="183">
        <f t="shared" si="4"/>
        <v>1542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22</v>
      </c>
      <c r="L36" s="251">
        <f>745+250+20+50+15+12+14+8+6</f>
        <v>1120</v>
      </c>
      <c r="M36" s="252"/>
      <c r="N36" s="256">
        <f t="shared" si="2"/>
        <v>1142</v>
      </c>
      <c r="O36" s="213"/>
      <c r="P36" s="214"/>
      <c r="Q36" s="187">
        <f t="shared" si="3"/>
        <v>1142</v>
      </c>
      <c r="R36" s="183">
        <f t="shared" si="4"/>
        <v>1142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21</v>
      </c>
      <c r="L37" s="251">
        <f>675+250+20+15+12+14+6+8</f>
        <v>1000</v>
      </c>
      <c r="M37" s="252"/>
      <c r="N37" s="256">
        <f t="shared" si="2"/>
        <v>1021</v>
      </c>
      <c r="O37" s="213"/>
      <c r="P37" s="214"/>
      <c r="Q37" s="187">
        <f t="shared" si="3"/>
        <v>1021</v>
      </c>
      <c r="R37" s="183">
        <f t="shared" si="4"/>
        <v>1021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19</v>
      </c>
      <c r="L38" s="251">
        <f>1275+250+20+100+15+12+8+14+6</f>
        <v>1700</v>
      </c>
      <c r="M38" s="252"/>
      <c r="N38" s="256">
        <f t="shared" si="2"/>
        <v>1719</v>
      </c>
      <c r="O38" s="213"/>
      <c r="P38" s="214"/>
      <c r="Q38" s="187">
        <f t="shared" si="3"/>
        <v>1719</v>
      </c>
      <c r="R38" s="183">
        <f t="shared" si="4"/>
        <v>1719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10</v>
      </c>
      <c r="L39" s="251">
        <f>200+70+75+60+200</f>
        <v>605</v>
      </c>
      <c r="M39" s="252"/>
      <c r="N39" s="256">
        <f t="shared" si="2"/>
        <v>615</v>
      </c>
      <c r="O39" s="213"/>
      <c r="P39" s="214"/>
      <c r="Q39" s="187">
        <f t="shared" si="3"/>
        <v>615</v>
      </c>
      <c r="R39" s="183">
        <f t="shared" si="4"/>
        <v>615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9</v>
      </c>
      <c r="L40" s="251">
        <v>200</v>
      </c>
      <c r="M40" s="252"/>
      <c r="N40" s="256">
        <f t="shared" si="2"/>
        <v>209</v>
      </c>
      <c r="O40" s="213"/>
      <c r="P40" s="214"/>
      <c r="Q40" s="187">
        <f t="shared" si="3"/>
        <v>209</v>
      </c>
      <c r="R40" s="183">
        <f t="shared" si="4"/>
        <v>209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21</v>
      </c>
      <c r="L41" s="251">
        <f>879+250+20+15+12+14+8+6</f>
        <v>1204</v>
      </c>
      <c r="M41" s="252"/>
      <c r="N41" s="256">
        <f t="shared" si="2"/>
        <v>1225</v>
      </c>
      <c r="O41" s="213"/>
      <c r="P41" s="214"/>
      <c r="Q41" s="187">
        <f t="shared" si="3"/>
        <v>1225</v>
      </c>
      <c r="R41" s="183">
        <f t="shared" si="4"/>
        <v>1225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21</v>
      </c>
      <c r="L42" s="251">
        <f>883+250+20+15+14+12+6</f>
        <v>1200</v>
      </c>
      <c r="M42" s="252"/>
      <c r="N42" s="256">
        <f t="shared" si="2"/>
        <v>1221</v>
      </c>
      <c r="O42" s="213"/>
      <c r="P42" s="214"/>
      <c r="Q42" s="187">
        <f t="shared" si="3"/>
        <v>1221</v>
      </c>
      <c r="R42" s="183">
        <f t="shared" si="4"/>
        <v>1221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22</v>
      </c>
      <c r="L43" s="251">
        <f>837+250+50+20+15+14+12+8+6</f>
        <v>1212</v>
      </c>
      <c r="M43" s="252"/>
      <c r="N43" s="256">
        <f t="shared" si="2"/>
        <v>1234</v>
      </c>
      <c r="O43" s="213"/>
      <c r="P43" s="214"/>
      <c r="Q43" s="187">
        <f t="shared" si="3"/>
        <v>1234</v>
      </c>
      <c r="R43" s="183">
        <f t="shared" si="4"/>
        <v>1234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23</v>
      </c>
      <c r="L44" s="251">
        <f>875+250+20+15+14+12+8+6</f>
        <v>1200</v>
      </c>
      <c r="M44" s="252"/>
      <c r="N44" s="256">
        <f t="shared" si="2"/>
        <v>1223</v>
      </c>
      <c r="O44" s="213"/>
      <c r="P44" s="214"/>
      <c r="Q44" s="187">
        <f t="shared" si="3"/>
        <v>1223</v>
      </c>
      <c r="R44" s="183">
        <f t="shared" si="4"/>
        <v>1223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23</v>
      </c>
      <c r="L45" s="251">
        <f>1014+250+20+15+12+100+75+8+6</f>
        <v>1500</v>
      </c>
      <c r="M45" s="252"/>
      <c r="N45" s="256">
        <f t="shared" si="2"/>
        <v>1523</v>
      </c>
      <c r="O45" s="213"/>
      <c r="P45" s="214"/>
      <c r="Q45" s="187">
        <f t="shared" si="3"/>
        <v>1523</v>
      </c>
      <c r="R45" s="183">
        <f t="shared" si="4"/>
        <v>1523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503</v>
      </c>
      <c r="L48" s="259">
        <f t="shared" si="5"/>
        <v>32933</v>
      </c>
      <c r="M48" s="260">
        <f t="shared" si="5"/>
        <v>0</v>
      </c>
      <c r="N48" s="258">
        <f>SUM(N16:N46)</f>
        <v>33436</v>
      </c>
      <c r="O48" s="195">
        <f t="shared" si="5"/>
        <v>0</v>
      </c>
      <c r="P48" s="195">
        <f t="shared" si="5"/>
        <v>0</v>
      </c>
      <c r="Q48" s="194">
        <f>SUM(Q16:Q46)</f>
        <v>33436</v>
      </c>
      <c r="R48" s="185">
        <f>SUM(R16:R46)</f>
        <v>33436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33436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5" zoomScale="70" zoomScaleNormal="70" workbookViewId="0">
      <pane xSplit="1" topLeftCell="B1" activePane="topRight" state="frozen"/>
      <selection activeCell="R13" sqref="R13"/>
      <selection pane="topRight" activeCell="H41" sqref="H41"/>
    </sheetView>
  </sheetViews>
  <sheetFormatPr baseColWidth="10" defaultColWidth="11.44140625" defaultRowHeight="14.4" x14ac:dyDescent="0.3"/>
  <cols>
    <col min="1" max="1" width="5.44140625" style="89" customWidth="1"/>
    <col min="2" max="2" width="5.664062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71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>
        <v>3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77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19</v>
      </c>
      <c r="L16" s="251">
        <v>1466</v>
      </c>
      <c r="M16" s="252"/>
      <c r="N16" s="256">
        <f>+K16+L16+M16</f>
        <v>1485</v>
      </c>
      <c r="O16" s="235"/>
      <c r="P16" s="234"/>
      <c r="Q16" s="187">
        <f>+P16+O16+N16</f>
        <v>1485</v>
      </c>
      <c r="R16" s="183">
        <f>+Q16+J16+F16</f>
        <v>1485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21</v>
      </c>
      <c r="L17" s="251">
        <v>1211</v>
      </c>
      <c r="M17" s="252"/>
      <c r="N17" s="256">
        <f t="shared" ref="N17:N46" si="2">+K17+L17+M17</f>
        <v>1232</v>
      </c>
      <c r="O17" s="213"/>
      <c r="P17" s="214"/>
      <c r="Q17" s="187">
        <f t="shared" ref="Q17:Q46" si="3">+P17+O17+N17</f>
        <v>1232</v>
      </c>
      <c r="R17" s="183">
        <f t="shared" ref="R17:R46" si="4">+Q17+J17+F17</f>
        <v>1232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15</v>
      </c>
      <c r="L18" s="251">
        <v>345</v>
      </c>
      <c r="M18" s="252"/>
      <c r="N18" s="256">
        <f t="shared" si="2"/>
        <v>360</v>
      </c>
      <c r="O18" s="213"/>
      <c r="P18" s="214"/>
      <c r="Q18" s="187">
        <f t="shared" si="3"/>
        <v>360</v>
      </c>
      <c r="R18" s="183">
        <f t="shared" si="4"/>
        <v>360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15</v>
      </c>
      <c r="L19" s="251">
        <v>120</v>
      </c>
      <c r="M19" s="252"/>
      <c r="N19" s="256">
        <f t="shared" si="2"/>
        <v>135</v>
      </c>
      <c r="O19" s="213"/>
      <c r="P19" s="214"/>
      <c r="Q19" s="187">
        <f t="shared" si="3"/>
        <v>135</v>
      </c>
      <c r="R19" s="183">
        <f t="shared" si="4"/>
        <v>135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21</v>
      </c>
      <c r="L20" s="251">
        <v>1215</v>
      </c>
      <c r="M20" s="252"/>
      <c r="N20" s="256">
        <f t="shared" si="2"/>
        <v>1236</v>
      </c>
      <c r="O20" s="213"/>
      <c r="P20" s="214"/>
      <c r="Q20" s="187">
        <f t="shared" si="3"/>
        <v>1236</v>
      </c>
      <c r="R20" s="183">
        <f t="shared" si="4"/>
        <v>1236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21</v>
      </c>
      <c r="L21" s="251">
        <v>1206</v>
      </c>
      <c r="M21" s="252"/>
      <c r="N21" s="256">
        <f t="shared" si="2"/>
        <v>1227</v>
      </c>
      <c r="O21" s="213"/>
      <c r="P21" s="214"/>
      <c r="Q21" s="187">
        <f t="shared" si="3"/>
        <v>1227</v>
      </c>
      <c r="R21" s="183">
        <f t="shared" si="4"/>
        <v>1227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21</v>
      </c>
      <c r="L22" s="251">
        <v>1212</v>
      </c>
      <c r="M22" s="252"/>
      <c r="N22" s="256">
        <f t="shared" si="2"/>
        <v>1233</v>
      </c>
      <c r="O22" s="213"/>
      <c r="P22" s="214"/>
      <c r="Q22" s="187">
        <f t="shared" si="3"/>
        <v>1233</v>
      </c>
      <c r="R22" s="183">
        <f t="shared" si="4"/>
        <v>1233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21</v>
      </c>
      <c r="L23" s="251">
        <v>1181</v>
      </c>
      <c r="M23" s="252"/>
      <c r="N23" s="256">
        <f t="shared" si="2"/>
        <v>1202</v>
      </c>
      <c r="O23" s="213"/>
      <c r="P23" s="214"/>
      <c r="Q23" s="187">
        <f t="shared" si="3"/>
        <v>1202</v>
      </c>
      <c r="R23" s="183">
        <f t="shared" si="4"/>
        <v>1202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21</v>
      </c>
      <c r="L24" s="251">
        <v>1457</v>
      </c>
      <c r="M24" s="252"/>
      <c r="N24" s="256">
        <f t="shared" si="2"/>
        <v>1478</v>
      </c>
      <c r="O24" s="213"/>
      <c r="P24" s="214"/>
      <c r="Q24" s="187">
        <f t="shared" si="3"/>
        <v>1478</v>
      </c>
      <c r="R24" s="183">
        <f t="shared" si="4"/>
        <v>1478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20</v>
      </c>
      <c r="L27" s="251">
        <v>1214</v>
      </c>
      <c r="M27" s="252"/>
      <c r="N27" s="256">
        <f t="shared" si="2"/>
        <v>1234</v>
      </c>
      <c r="O27" s="213"/>
      <c r="P27" s="214"/>
      <c r="Q27" s="187">
        <f t="shared" si="3"/>
        <v>1234</v>
      </c>
      <c r="R27" s="183">
        <f t="shared" si="4"/>
        <v>1234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21</v>
      </c>
      <c r="L28" s="251">
        <v>1199</v>
      </c>
      <c r="M28" s="252"/>
      <c r="N28" s="256">
        <f t="shared" si="2"/>
        <v>1220</v>
      </c>
      <c r="O28" s="213"/>
      <c r="P28" s="214"/>
      <c r="Q28" s="187">
        <f t="shared" si="3"/>
        <v>1220</v>
      </c>
      <c r="R28" s="183">
        <f t="shared" si="4"/>
        <v>1220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20</v>
      </c>
      <c r="L29" s="251">
        <v>1223</v>
      </c>
      <c r="M29" s="252"/>
      <c r="N29" s="256">
        <f t="shared" si="2"/>
        <v>1243</v>
      </c>
      <c r="O29" s="213"/>
      <c r="P29" s="214"/>
      <c r="Q29" s="187">
        <f t="shared" si="3"/>
        <v>1243</v>
      </c>
      <c r="R29" s="183">
        <f t="shared" si="4"/>
        <v>1243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21</v>
      </c>
      <c r="L30" s="251">
        <v>1184</v>
      </c>
      <c r="M30" s="252"/>
      <c r="N30" s="256">
        <f t="shared" si="2"/>
        <v>1205</v>
      </c>
      <c r="O30" s="213"/>
      <c r="P30" s="214"/>
      <c r="Q30" s="187">
        <f t="shared" si="3"/>
        <v>1205</v>
      </c>
      <c r="R30" s="183">
        <f t="shared" si="4"/>
        <v>1205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21</v>
      </c>
      <c r="L31" s="251">
        <v>1298</v>
      </c>
      <c r="M31" s="252"/>
      <c r="N31" s="256">
        <f t="shared" si="2"/>
        <v>1319</v>
      </c>
      <c r="O31" s="213"/>
      <c r="P31" s="214"/>
      <c r="Q31" s="187">
        <f t="shared" si="3"/>
        <v>1319</v>
      </c>
      <c r="R31" s="183">
        <f t="shared" si="4"/>
        <v>1319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15</v>
      </c>
      <c r="L32" s="251">
        <v>645</v>
      </c>
      <c r="M32" s="252"/>
      <c r="N32" s="256">
        <f t="shared" si="2"/>
        <v>660</v>
      </c>
      <c r="O32" s="213"/>
      <c r="P32" s="214"/>
      <c r="Q32" s="187">
        <f t="shared" si="3"/>
        <v>660</v>
      </c>
      <c r="R32" s="183">
        <f t="shared" si="4"/>
        <v>660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19</v>
      </c>
      <c r="L34" s="251">
        <v>1302</v>
      </c>
      <c r="M34" s="252"/>
      <c r="N34" s="256">
        <f t="shared" si="2"/>
        <v>1321</v>
      </c>
      <c r="O34" s="213"/>
      <c r="P34" s="214"/>
      <c r="Q34" s="187">
        <f t="shared" si="3"/>
        <v>1321</v>
      </c>
      <c r="R34" s="183">
        <f t="shared" si="4"/>
        <v>1321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22</v>
      </c>
      <c r="L35" s="251">
        <v>1209</v>
      </c>
      <c r="M35" s="252"/>
      <c r="N35" s="256">
        <f t="shared" si="2"/>
        <v>1231</v>
      </c>
      <c r="O35" s="213"/>
      <c r="P35" s="214"/>
      <c r="Q35" s="187">
        <f t="shared" si="3"/>
        <v>1231</v>
      </c>
      <c r="R35" s="183">
        <f t="shared" si="4"/>
        <v>1231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22</v>
      </c>
      <c r="L36" s="251">
        <v>1214</v>
      </c>
      <c r="M36" s="252"/>
      <c r="N36" s="256">
        <f t="shared" si="2"/>
        <v>1236</v>
      </c>
      <c r="O36" s="213"/>
      <c r="P36" s="214"/>
      <c r="Q36" s="187">
        <f t="shared" si="3"/>
        <v>1236</v>
      </c>
      <c r="R36" s="183">
        <f t="shared" si="4"/>
        <v>1236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24</v>
      </c>
      <c r="L37" s="251">
        <v>1179</v>
      </c>
      <c r="M37" s="252"/>
      <c r="N37" s="256">
        <f t="shared" si="2"/>
        <v>1203</v>
      </c>
      <c r="O37" s="213"/>
      <c r="P37" s="214"/>
      <c r="Q37" s="187">
        <f t="shared" si="3"/>
        <v>1203</v>
      </c>
      <c r="R37" s="183">
        <f t="shared" si="4"/>
        <v>1203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24</v>
      </c>
      <c r="L38" s="251">
        <v>1198</v>
      </c>
      <c r="M38" s="252"/>
      <c r="N38" s="256">
        <f t="shared" si="2"/>
        <v>1222</v>
      </c>
      <c r="O38" s="213"/>
      <c r="P38" s="214"/>
      <c r="Q38" s="187">
        <f t="shared" si="3"/>
        <v>1222</v>
      </c>
      <c r="R38" s="183">
        <f t="shared" si="4"/>
        <v>1222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22</v>
      </c>
      <c r="L41" s="251">
        <v>1225</v>
      </c>
      <c r="M41" s="252"/>
      <c r="N41" s="256">
        <f t="shared" si="2"/>
        <v>1247</v>
      </c>
      <c r="O41" s="213"/>
      <c r="P41" s="214"/>
      <c r="Q41" s="187">
        <f t="shared" si="3"/>
        <v>1247</v>
      </c>
      <c r="R41" s="183">
        <f t="shared" si="4"/>
        <v>1247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22</v>
      </c>
      <c r="L42" s="251">
        <v>1218</v>
      </c>
      <c r="M42" s="252"/>
      <c r="N42" s="256">
        <f t="shared" si="2"/>
        <v>1240</v>
      </c>
      <c r="O42" s="213"/>
      <c r="P42" s="214"/>
      <c r="Q42" s="187">
        <f t="shared" si="3"/>
        <v>1240</v>
      </c>
      <c r="R42" s="183">
        <f t="shared" si="4"/>
        <v>1240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24</v>
      </c>
      <c r="L43" s="251">
        <v>1224</v>
      </c>
      <c r="M43" s="252"/>
      <c r="N43" s="256">
        <f t="shared" si="2"/>
        <v>1248</v>
      </c>
      <c r="O43" s="213"/>
      <c r="P43" s="214"/>
      <c r="Q43" s="187">
        <f t="shared" si="3"/>
        <v>1248</v>
      </c>
      <c r="R43" s="183">
        <f t="shared" si="4"/>
        <v>1248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23</v>
      </c>
      <c r="L44" s="251">
        <v>1179</v>
      </c>
      <c r="M44" s="252"/>
      <c r="N44" s="256">
        <f t="shared" si="2"/>
        <v>1202</v>
      </c>
      <c r="O44" s="213"/>
      <c r="P44" s="214"/>
      <c r="Q44" s="187">
        <f t="shared" si="3"/>
        <v>1202</v>
      </c>
      <c r="R44" s="183">
        <f t="shared" si="4"/>
        <v>1202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22</v>
      </c>
      <c r="L45" s="251">
        <v>1206</v>
      </c>
      <c r="M45" s="252"/>
      <c r="N45" s="256">
        <f t="shared" si="2"/>
        <v>1228</v>
      </c>
      <c r="O45" s="213"/>
      <c r="P45" s="214"/>
      <c r="Q45" s="187">
        <f t="shared" si="3"/>
        <v>1228</v>
      </c>
      <c r="R45" s="183">
        <f t="shared" si="4"/>
        <v>1228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517</v>
      </c>
      <c r="L48" s="259">
        <f t="shared" si="5"/>
        <v>28330</v>
      </c>
      <c r="M48" s="260">
        <f t="shared" si="5"/>
        <v>0</v>
      </c>
      <c r="N48" s="258">
        <f>SUM(N16:N46)</f>
        <v>28847</v>
      </c>
      <c r="O48" s="195">
        <f t="shared" si="5"/>
        <v>0</v>
      </c>
      <c r="P48" s="195">
        <f t="shared" si="5"/>
        <v>0</v>
      </c>
      <c r="Q48" s="194">
        <f>SUM(Q16:Q46)</f>
        <v>28847</v>
      </c>
      <c r="R48" s="185">
        <f>SUM(R16:R46)</f>
        <v>28847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ht="15" customHeight="1" x14ac:dyDescent="0.3">
      <c r="K51" s="215"/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43" zoomScale="72" zoomScaleNormal="72" workbookViewId="0">
      <pane xSplit="1" topLeftCell="B1" activePane="topRight" state="frozen"/>
      <selection activeCell="R13" sqref="R13"/>
      <selection pane="topRight" activeCell="M38" sqref="M38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44140625" style="89" customWidth="1"/>
    <col min="7" max="16384" width="11.44140625" style="89"/>
  </cols>
  <sheetData>
    <row r="1" spans="1:20" ht="15" customHeight="1" x14ac:dyDescent="0.3"/>
    <row r="2" spans="1:20" ht="29.2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14</v>
      </c>
      <c r="L16" s="251">
        <f>921+100+20+14+5</f>
        <v>1060</v>
      </c>
      <c r="M16" s="252"/>
      <c r="N16" s="256">
        <f>+K16+L16+M16</f>
        <v>1074</v>
      </c>
      <c r="O16" s="235"/>
      <c r="P16" s="234"/>
      <c r="Q16" s="187">
        <f>+P16+O16+N16</f>
        <v>1074</v>
      </c>
      <c r="R16" s="183">
        <f>+Q16+J16+F16</f>
        <v>1074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14</v>
      </c>
      <c r="L17" s="251">
        <f>769+20+16+5</f>
        <v>810</v>
      </c>
      <c r="M17" s="252"/>
      <c r="N17" s="256">
        <f t="shared" ref="N17:N46" si="2">+K17+L17+M17</f>
        <v>824</v>
      </c>
      <c r="O17" s="213"/>
      <c r="P17" s="214"/>
      <c r="Q17" s="187">
        <f t="shared" ref="Q17:Q46" si="3">+P17+O17+N17</f>
        <v>824</v>
      </c>
      <c r="R17" s="183">
        <f t="shared" ref="R17:R46" si="4">+Q17+J17+F17</f>
        <v>824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14</v>
      </c>
      <c r="L20" s="251">
        <f>814+20+14+5</f>
        <v>853</v>
      </c>
      <c r="M20" s="252"/>
      <c r="N20" s="256">
        <f t="shared" si="2"/>
        <v>867</v>
      </c>
      <c r="O20" s="213"/>
      <c r="P20" s="214"/>
      <c r="Q20" s="187">
        <f t="shared" si="3"/>
        <v>867</v>
      </c>
      <c r="R20" s="183">
        <f t="shared" si="4"/>
        <v>867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14</v>
      </c>
      <c r="L21" s="251">
        <f>842+100+20+14+5</f>
        <v>981</v>
      </c>
      <c r="M21" s="252"/>
      <c r="N21" s="256">
        <f t="shared" si="2"/>
        <v>995</v>
      </c>
      <c r="O21" s="213"/>
      <c r="P21" s="214"/>
      <c r="Q21" s="187">
        <f t="shared" si="3"/>
        <v>995</v>
      </c>
      <c r="R21" s="183">
        <f t="shared" si="4"/>
        <v>995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14</v>
      </c>
      <c r="L22" s="251">
        <f>609+20+14+5</f>
        <v>648</v>
      </c>
      <c r="M22" s="252"/>
      <c r="N22" s="256">
        <f t="shared" si="2"/>
        <v>662</v>
      </c>
      <c r="O22" s="213"/>
      <c r="P22" s="214"/>
      <c r="Q22" s="187">
        <f t="shared" si="3"/>
        <v>662</v>
      </c>
      <c r="R22" s="183">
        <f t="shared" si="4"/>
        <v>662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14</v>
      </c>
      <c r="L23" s="251">
        <f>1019+100+20+14+5</f>
        <v>1158</v>
      </c>
      <c r="M23" s="252"/>
      <c r="N23" s="256">
        <f t="shared" si="2"/>
        <v>1172</v>
      </c>
      <c r="O23" s="213"/>
      <c r="P23" s="214"/>
      <c r="Q23" s="187">
        <f t="shared" si="3"/>
        <v>1172</v>
      </c>
      <c r="R23" s="183">
        <f t="shared" si="4"/>
        <v>1172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14</v>
      </c>
      <c r="L24" s="251">
        <f>907+20+14+5</f>
        <v>946</v>
      </c>
      <c r="M24" s="252"/>
      <c r="N24" s="256">
        <f t="shared" si="2"/>
        <v>960</v>
      </c>
      <c r="O24" s="213"/>
      <c r="P24" s="214"/>
      <c r="Q24" s="187">
        <f t="shared" si="3"/>
        <v>960</v>
      </c>
      <c r="R24" s="183">
        <f t="shared" si="4"/>
        <v>960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10</v>
      </c>
      <c r="L26" s="251">
        <v>200</v>
      </c>
      <c r="M26" s="252"/>
      <c r="N26" s="256">
        <f t="shared" si="2"/>
        <v>210</v>
      </c>
      <c r="O26" s="213"/>
      <c r="P26" s="214"/>
      <c r="Q26" s="187">
        <f t="shared" si="3"/>
        <v>210</v>
      </c>
      <c r="R26" s="183">
        <f t="shared" si="4"/>
        <v>210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14</v>
      </c>
      <c r="L27" s="251">
        <f>898+20+14+5</f>
        <v>937</v>
      </c>
      <c r="M27" s="252"/>
      <c r="N27" s="256">
        <f t="shared" si="2"/>
        <v>951</v>
      </c>
      <c r="O27" s="213"/>
      <c r="P27" s="214"/>
      <c r="Q27" s="187">
        <f t="shared" si="3"/>
        <v>951</v>
      </c>
      <c r="R27" s="183">
        <f t="shared" si="4"/>
        <v>951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14</v>
      </c>
      <c r="L28" s="251">
        <f>890+100+20+14+5</f>
        <v>1029</v>
      </c>
      <c r="M28" s="252"/>
      <c r="N28" s="256">
        <f t="shared" si="2"/>
        <v>1043</v>
      </c>
      <c r="O28" s="213"/>
      <c r="P28" s="214"/>
      <c r="Q28" s="187">
        <f t="shared" si="3"/>
        <v>1043</v>
      </c>
      <c r="R28" s="183">
        <f t="shared" si="4"/>
        <v>1043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14</v>
      </c>
      <c r="L29" s="251">
        <f>846+20+14+5</f>
        <v>885</v>
      </c>
      <c r="M29" s="252"/>
      <c r="N29" s="256">
        <f t="shared" si="2"/>
        <v>899</v>
      </c>
      <c r="O29" s="213"/>
      <c r="P29" s="214"/>
      <c r="Q29" s="187">
        <f t="shared" si="3"/>
        <v>899</v>
      </c>
      <c r="R29" s="183">
        <f t="shared" si="4"/>
        <v>899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14</v>
      </c>
      <c r="L30" s="251">
        <f>1063+100+20+29+5</f>
        <v>1217</v>
      </c>
      <c r="M30" s="252"/>
      <c r="N30" s="256">
        <f t="shared" si="2"/>
        <v>1231</v>
      </c>
      <c r="O30" s="213"/>
      <c r="P30" s="214"/>
      <c r="Q30" s="187">
        <f t="shared" si="3"/>
        <v>1231</v>
      </c>
      <c r="R30" s="183">
        <f t="shared" si="4"/>
        <v>1231</v>
      </c>
      <c r="S30" s="215"/>
      <c r="T30" s="215"/>
    </row>
    <row r="31" spans="2:20" ht="13.2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14</v>
      </c>
      <c r="L31" s="251">
        <f>888+20+29+5</f>
        <v>942</v>
      </c>
      <c r="M31" s="252"/>
      <c r="N31" s="256">
        <f t="shared" si="2"/>
        <v>956</v>
      </c>
      <c r="O31" s="213"/>
      <c r="P31" s="214"/>
      <c r="Q31" s="187">
        <f t="shared" si="3"/>
        <v>956</v>
      </c>
      <c r="R31" s="183">
        <f t="shared" si="4"/>
        <v>956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4.4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</v>
      </c>
      <c r="L34" s="251">
        <f>740+50+68+68+50</f>
        <v>976</v>
      </c>
      <c r="M34" s="252"/>
      <c r="N34" s="256">
        <f t="shared" si="2"/>
        <v>984</v>
      </c>
      <c r="O34" s="213"/>
      <c r="P34" s="214"/>
      <c r="Q34" s="187">
        <f t="shared" si="3"/>
        <v>984</v>
      </c>
      <c r="R34" s="183">
        <f t="shared" si="4"/>
        <v>984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14</v>
      </c>
      <c r="L35" s="251">
        <f>949+20+203+14+15</f>
        <v>1201</v>
      </c>
      <c r="M35" s="252"/>
      <c r="N35" s="256">
        <f t="shared" si="2"/>
        <v>1215</v>
      </c>
      <c r="O35" s="213"/>
      <c r="P35" s="214"/>
      <c r="Q35" s="187">
        <f t="shared" si="3"/>
        <v>1215</v>
      </c>
      <c r="R35" s="183">
        <f t="shared" si="4"/>
        <v>1215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14</v>
      </c>
      <c r="L36" s="251">
        <f>597+27+14+19</f>
        <v>657</v>
      </c>
      <c r="M36" s="252"/>
      <c r="N36" s="256">
        <f t="shared" si="2"/>
        <v>671</v>
      </c>
      <c r="O36" s="213"/>
      <c r="P36" s="214"/>
      <c r="Q36" s="187">
        <f t="shared" si="3"/>
        <v>671</v>
      </c>
      <c r="R36" s="183">
        <f t="shared" si="4"/>
        <v>671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14</v>
      </c>
      <c r="L37" s="251">
        <f>797+107+20+14+7</f>
        <v>945</v>
      </c>
      <c r="M37" s="252"/>
      <c r="N37" s="256">
        <f t="shared" si="2"/>
        <v>959</v>
      </c>
      <c r="O37" s="213"/>
      <c r="P37" s="214"/>
      <c r="Q37" s="187">
        <f t="shared" si="3"/>
        <v>959</v>
      </c>
      <c r="R37" s="183">
        <f t="shared" si="4"/>
        <v>959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14</v>
      </c>
      <c r="L38" s="251">
        <f>405+740+10+20+9+15</f>
        <v>1199</v>
      </c>
      <c r="M38" s="252"/>
      <c r="N38" s="256">
        <f t="shared" si="2"/>
        <v>1213</v>
      </c>
      <c r="O38" s="213"/>
      <c r="P38" s="214"/>
      <c r="Q38" s="187">
        <f t="shared" si="3"/>
        <v>1213</v>
      </c>
      <c r="R38" s="183">
        <f t="shared" si="4"/>
        <v>1213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14</v>
      </c>
      <c r="L41" s="251">
        <f>742+20+14+5</f>
        <v>781</v>
      </c>
      <c r="M41" s="252"/>
      <c r="N41" s="256">
        <f t="shared" si="2"/>
        <v>795</v>
      </c>
      <c r="O41" s="213"/>
      <c r="P41" s="214"/>
      <c r="Q41" s="187">
        <f t="shared" si="3"/>
        <v>795</v>
      </c>
      <c r="R41" s="183">
        <f t="shared" si="4"/>
        <v>795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14</v>
      </c>
      <c r="L42" s="251">
        <f>658+107+20+14+5</f>
        <v>804</v>
      </c>
      <c r="M42" s="252"/>
      <c r="N42" s="256">
        <f t="shared" si="2"/>
        <v>818</v>
      </c>
      <c r="O42" s="213"/>
      <c r="P42" s="214"/>
      <c r="Q42" s="187">
        <f t="shared" si="3"/>
        <v>818</v>
      </c>
      <c r="R42" s="183">
        <f t="shared" si="4"/>
        <v>818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14</v>
      </c>
      <c r="L43" s="251">
        <f>587+20+14+5</f>
        <v>626</v>
      </c>
      <c r="M43" s="252"/>
      <c r="N43" s="256">
        <f t="shared" si="2"/>
        <v>640</v>
      </c>
      <c r="O43" s="213"/>
      <c r="P43" s="214"/>
      <c r="Q43" s="187">
        <f t="shared" si="3"/>
        <v>640</v>
      </c>
      <c r="R43" s="183">
        <f t="shared" si="4"/>
        <v>640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14</v>
      </c>
      <c r="L44" s="251">
        <f>9+8+107+10+669+20+14+5+30</f>
        <v>872</v>
      </c>
      <c r="M44" s="252"/>
      <c r="N44" s="256">
        <f t="shared" si="2"/>
        <v>886</v>
      </c>
      <c r="O44" s="213"/>
      <c r="P44" s="214"/>
      <c r="Q44" s="187">
        <f t="shared" si="3"/>
        <v>886</v>
      </c>
      <c r="R44" s="183">
        <f t="shared" si="4"/>
        <v>886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14</v>
      </c>
      <c r="L45" s="251">
        <f>10+7+5+589+20+14+8</f>
        <v>653</v>
      </c>
      <c r="M45" s="252"/>
      <c r="N45" s="256">
        <f t="shared" si="2"/>
        <v>667</v>
      </c>
      <c r="O45" s="213"/>
      <c r="P45" s="214"/>
      <c r="Q45" s="187">
        <f t="shared" si="3"/>
        <v>667</v>
      </c>
      <c r="R45" s="183">
        <f t="shared" si="4"/>
        <v>667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312</v>
      </c>
      <c r="L48" s="259">
        <f t="shared" si="5"/>
        <v>20380</v>
      </c>
      <c r="M48" s="260">
        <f t="shared" si="5"/>
        <v>0</v>
      </c>
      <c r="N48" s="258">
        <f>SUM(N16:N46)</f>
        <v>20692</v>
      </c>
      <c r="O48" s="195">
        <f t="shared" si="5"/>
        <v>0</v>
      </c>
      <c r="P48" s="195">
        <f t="shared" si="5"/>
        <v>0</v>
      </c>
      <c r="Q48" s="194">
        <f>SUM(Q16:Q46)</f>
        <v>20692</v>
      </c>
      <c r="R48" s="185">
        <f>SUM(R16:R46)</f>
        <v>20692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20692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2" zoomScale="70" zoomScaleNormal="70" workbookViewId="0">
      <pane xSplit="1" topLeftCell="B1" activePane="topRight" state="frozen"/>
      <selection activeCell="R13" sqref="R13"/>
      <selection pane="topRight" activeCell="I35" sqref="I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21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30</v>
      </c>
      <c r="L16" s="251">
        <f>123+150+60+94+30+40+35+25</f>
        <v>557</v>
      </c>
      <c r="M16" s="252"/>
      <c r="N16" s="256">
        <f>+K16+L16+M16</f>
        <v>587</v>
      </c>
      <c r="O16" s="235"/>
      <c r="P16" s="234"/>
      <c r="Q16" s="187">
        <f>+P16+O16+N16</f>
        <v>587</v>
      </c>
      <c r="R16" s="183">
        <f>+Q16+J16+F16</f>
        <v>587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33</v>
      </c>
      <c r="L17" s="251">
        <f>10+30+98+150+60+63+30+40+35+25</f>
        <v>541</v>
      </c>
      <c r="M17" s="252"/>
      <c r="N17" s="256">
        <f t="shared" ref="N17:N46" si="2">+K17+L17+M17</f>
        <v>574</v>
      </c>
      <c r="O17" s="213"/>
      <c r="P17" s="214"/>
      <c r="Q17" s="187">
        <f t="shared" ref="Q17:Q46" si="3">+P17+O17+N17</f>
        <v>574</v>
      </c>
      <c r="R17" s="183">
        <f t="shared" ref="R17:R46" si="4">+Q17+J17+F17</f>
        <v>574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20</v>
      </c>
      <c r="L18" s="251">
        <v>100</v>
      </c>
      <c r="M18" s="252"/>
      <c r="N18" s="256">
        <f t="shared" si="2"/>
        <v>120</v>
      </c>
      <c r="O18" s="213"/>
      <c r="P18" s="214"/>
      <c r="Q18" s="187">
        <f t="shared" si="3"/>
        <v>120</v>
      </c>
      <c r="R18" s="183">
        <f t="shared" si="4"/>
        <v>120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20</v>
      </c>
      <c r="L19" s="251">
        <v>100</v>
      </c>
      <c r="M19" s="252"/>
      <c r="N19" s="256">
        <f t="shared" si="2"/>
        <v>120</v>
      </c>
      <c r="O19" s="213"/>
      <c r="P19" s="214"/>
      <c r="Q19" s="187">
        <f t="shared" si="3"/>
        <v>120</v>
      </c>
      <c r="R19" s="183">
        <f t="shared" si="4"/>
        <v>120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28</v>
      </c>
      <c r="L20" s="251">
        <f>98+150+60+105+30+40+35+25</f>
        <v>543</v>
      </c>
      <c r="M20" s="252"/>
      <c r="N20" s="256">
        <f t="shared" si="2"/>
        <v>571</v>
      </c>
      <c r="O20" s="213"/>
      <c r="P20" s="214"/>
      <c r="Q20" s="187">
        <f t="shared" si="3"/>
        <v>571</v>
      </c>
      <c r="R20" s="183">
        <f t="shared" si="4"/>
        <v>571</v>
      </c>
      <c r="S20" s="215"/>
      <c r="T20" s="215"/>
    </row>
    <row r="21" spans="2:20" ht="15" customHeight="1" thickBot="1" x14ac:dyDescent="0.35">
      <c r="B21" s="28">
        <v>6</v>
      </c>
      <c r="C21" s="216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34</v>
      </c>
      <c r="L21" s="251">
        <f>144+150+86+30+40+35+60</f>
        <v>545</v>
      </c>
      <c r="M21" s="252"/>
      <c r="N21" s="256">
        <f t="shared" si="2"/>
        <v>579</v>
      </c>
      <c r="O21" s="213"/>
      <c r="P21" s="214"/>
      <c r="Q21" s="187">
        <f t="shared" si="3"/>
        <v>579</v>
      </c>
      <c r="R21" s="183">
        <f t="shared" si="4"/>
        <v>579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30</v>
      </c>
      <c r="L22" s="251">
        <f>126+25+219+30+40+35+60</f>
        <v>535</v>
      </c>
      <c r="M22" s="252"/>
      <c r="N22" s="256">
        <f t="shared" si="2"/>
        <v>565</v>
      </c>
      <c r="O22" s="213"/>
      <c r="P22" s="214"/>
      <c r="Q22" s="187">
        <f t="shared" si="3"/>
        <v>565</v>
      </c>
      <c r="R22" s="183">
        <f t="shared" si="4"/>
        <v>565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31</v>
      </c>
      <c r="L23" s="251">
        <f>286+30+40+35+60</f>
        <v>451</v>
      </c>
      <c r="M23" s="252"/>
      <c r="N23" s="256">
        <f t="shared" si="2"/>
        <v>482</v>
      </c>
      <c r="O23" s="213"/>
      <c r="P23" s="214"/>
      <c r="Q23" s="187">
        <f t="shared" si="3"/>
        <v>482</v>
      </c>
      <c r="R23" s="183">
        <f t="shared" si="4"/>
        <v>482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33</v>
      </c>
      <c r="L24" s="251">
        <f>120+150+25+87+30+40+35+60</f>
        <v>547</v>
      </c>
      <c r="M24" s="252"/>
      <c r="N24" s="256">
        <f t="shared" si="2"/>
        <v>580</v>
      </c>
      <c r="O24" s="213"/>
      <c r="P24" s="214"/>
      <c r="Q24" s="187">
        <f t="shared" si="3"/>
        <v>580</v>
      </c>
      <c r="R24" s="183">
        <f t="shared" si="4"/>
        <v>580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28</v>
      </c>
      <c r="L27" s="251">
        <f>150+25+62+140+30+40+35+60</f>
        <v>542</v>
      </c>
      <c r="M27" s="252"/>
      <c r="N27" s="256">
        <f t="shared" si="2"/>
        <v>570</v>
      </c>
      <c r="O27" s="213"/>
      <c r="P27" s="214"/>
      <c r="Q27" s="187">
        <f t="shared" si="3"/>
        <v>570</v>
      </c>
      <c r="R27" s="183">
        <f t="shared" si="4"/>
        <v>570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31</v>
      </c>
      <c r="L28" s="251">
        <f>150+30+140+110+30+40+35+60</f>
        <v>595</v>
      </c>
      <c r="M28" s="252"/>
      <c r="N28" s="256">
        <f t="shared" si="2"/>
        <v>626</v>
      </c>
      <c r="O28" s="213"/>
      <c r="P28" s="214"/>
      <c r="Q28" s="187">
        <f t="shared" si="3"/>
        <v>626</v>
      </c>
      <c r="R28" s="183">
        <f t="shared" si="4"/>
        <v>626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28</v>
      </c>
      <c r="L29" s="251">
        <f>128+30+150+46+30+40+35+60</f>
        <v>519</v>
      </c>
      <c r="M29" s="252"/>
      <c r="N29" s="256">
        <f t="shared" si="2"/>
        <v>547</v>
      </c>
      <c r="O29" s="213"/>
      <c r="P29" s="214"/>
      <c r="Q29" s="187">
        <f t="shared" si="3"/>
        <v>547</v>
      </c>
      <c r="R29" s="183">
        <f t="shared" si="4"/>
        <v>547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33</v>
      </c>
      <c r="L30" s="251">
        <f>175+25+150+93+30+40+35+60</f>
        <v>608</v>
      </c>
      <c r="M30" s="252"/>
      <c r="N30" s="256">
        <f t="shared" si="2"/>
        <v>641</v>
      </c>
      <c r="O30" s="213"/>
      <c r="P30" s="214"/>
      <c r="Q30" s="187">
        <f t="shared" si="3"/>
        <v>641</v>
      </c>
      <c r="R30" s="183">
        <f t="shared" si="4"/>
        <v>641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32</v>
      </c>
      <c r="L31" s="251">
        <f>210+25+150+72+30+40+35+60</f>
        <v>622</v>
      </c>
      <c r="M31" s="252"/>
      <c r="N31" s="256">
        <f t="shared" si="2"/>
        <v>654</v>
      </c>
      <c r="O31" s="213"/>
      <c r="P31" s="214"/>
      <c r="Q31" s="187">
        <f t="shared" si="3"/>
        <v>654</v>
      </c>
      <c r="R31" s="183">
        <f t="shared" si="4"/>
        <v>654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30</v>
      </c>
      <c r="L32" s="251">
        <v>98</v>
      </c>
      <c r="M32" s="252"/>
      <c r="N32" s="256">
        <f t="shared" si="2"/>
        <v>128</v>
      </c>
      <c r="O32" s="213"/>
      <c r="P32" s="214"/>
      <c r="Q32" s="187">
        <f t="shared" si="3"/>
        <v>128</v>
      </c>
      <c r="R32" s="183">
        <f t="shared" si="4"/>
        <v>128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32</v>
      </c>
      <c r="L34" s="251">
        <f>20+150+30+40+40+60+35+75</f>
        <v>450</v>
      </c>
      <c r="M34" s="252"/>
      <c r="N34" s="256">
        <f t="shared" si="2"/>
        <v>482</v>
      </c>
      <c r="O34" s="213"/>
      <c r="P34" s="214"/>
      <c r="Q34" s="187">
        <f t="shared" si="3"/>
        <v>482</v>
      </c>
      <c r="R34" s="183">
        <f t="shared" si="4"/>
        <v>482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28</v>
      </c>
      <c r="L35" s="251">
        <f>60+975+20+15+95+35+30+40+35</f>
        <v>1305</v>
      </c>
      <c r="M35" s="252"/>
      <c r="N35" s="256">
        <f t="shared" si="2"/>
        <v>1333</v>
      </c>
      <c r="O35" s="213"/>
      <c r="P35" s="214"/>
      <c r="Q35" s="187">
        <f t="shared" si="3"/>
        <v>1333</v>
      </c>
      <c r="R35" s="183">
        <f t="shared" si="4"/>
        <v>1333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30</v>
      </c>
      <c r="L36" s="251">
        <f>65+195+25+62+30+40+35+60</f>
        <v>512</v>
      </c>
      <c r="M36" s="252"/>
      <c r="N36" s="256">
        <f t="shared" si="2"/>
        <v>542</v>
      </c>
      <c r="O36" s="213"/>
      <c r="P36" s="214"/>
      <c r="Q36" s="187">
        <f t="shared" si="3"/>
        <v>542</v>
      </c>
      <c r="R36" s="183">
        <f t="shared" si="4"/>
        <v>542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33</v>
      </c>
      <c r="L37" s="251">
        <f>56+35+195+70+30+40+35+60</f>
        <v>521</v>
      </c>
      <c r="M37" s="252"/>
      <c r="N37" s="256">
        <f t="shared" si="2"/>
        <v>554</v>
      </c>
      <c r="O37" s="213"/>
      <c r="P37" s="214"/>
      <c r="Q37" s="187">
        <f t="shared" si="3"/>
        <v>554</v>
      </c>
      <c r="R37" s="183">
        <f t="shared" si="4"/>
        <v>554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33</v>
      </c>
      <c r="L38" s="251">
        <f>41+40+195+84+30+40+35+60</f>
        <v>525</v>
      </c>
      <c r="M38" s="252"/>
      <c r="N38" s="256">
        <f t="shared" si="2"/>
        <v>558</v>
      </c>
      <c r="O38" s="213"/>
      <c r="P38" s="214"/>
      <c r="Q38" s="187">
        <f t="shared" si="3"/>
        <v>558</v>
      </c>
      <c r="R38" s="183">
        <f t="shared" si="4"/>
        <v>558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28</v>
      </c>
      <c r="L41" s="251">
        <f>130+45+150+42+30+40+35+60</f>
        <v>532</v>
      </c>
      <c r="M41" s="252"/>
      <c r="N41" s="256">
        <f t="shared" si="2"/>
        <v>560</v>
      </c>
      <c r="O41" s="213"/>
      <c r="P41" s="214"/>
      <c r="Q41" s="187">
        <f t="shared" si="3"/>
        <v>560</v>
      </c>
      <c r="R41" s="183">
        <f t="shared" si="4"/>
        <v>560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33</v>
      </c>
      <c r="L42" s="251">
        <f>30+40+35+99+60+150+25+185</f>
        <v>624</v>
      </c>
      <c r="M42" s="252"/>
      <c r="N42" s="256">
        <f t="shared" si="2"/>
        <v>657</v>
      </c>
      <c r="O42" s="213"/>
      <c r="P42" s="214"/>
      <c r="Q42" s="187">
        <f t="shared" si="3"/>
        <v>657</v>
      </c>
      <c r="R42" s="183">
        <f t="shared" si="4"/>
        <v>657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31</v>
      </c>
      <c r="L43" s="251">
        <f>30+40+35+38+60+150+30+169</f>
        <v>552</v>
      </c>
      <c r="M43" s="252"/>
      <c r="N43" s="256">
        <f t="shared" si="2"/>
        <v>583</v>
      </c>
      <c r="O43" s="213"/>
      <c r="P43" s="214"/>
      <c r="Q43" s="187">
        <f t="shared" si="3"/>
        <v>583</v>
      </c>
      <c r="R43" s="183">
        <f t="shared" si="4"/>
        <v>583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33</v>
      </c>
      <c r="L44" s="251">
        <f>30+40+35+98+60+150+30+184</f>
        <v>627</v>
      </c>
      <c r="M44" s="252"/>
      <c r="N44" s="256">
        <f t="shared" si="2"/>
        <v>660</v>
      </c>
      <c r="O44" s="213"/>
      <c r="P44" s="214"/>
      <c r="Q44" s="187">
        <f t="shared" si="3"/>
        <v>660</v>
      </c>
      <c r="R44" s="183">
        <f t="shared" si="4"/>
        <v>660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32</v>
      </c>
      <c r="L45" s="251">
        <f>208+25+150+42+30+40+35+60</f>
        <v>590</v>
      </c>
      <c r="M45" s="252"/>
      <c r="N45" s="256">
        <f t="shared" si="2"/>
        <v>622</v>
      </c>
      <c r="O45" s="213"/>
      <c r="P45" s="214"/>
      <c r="Q45" s="187">
        <f t="shared" si="3"/>
        <v>622</v>
      </c>
      <c r="R45" s="183">
        <f t="shared" si="4"/>
        <v>622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754</v>
      </c>
      <c r="L48" s="259">
        <f t="shared" si="5"/>
        <v>13141</v>
      </c>
      <c r="M48" s="260">
        <f t="shared" si="5"/>
        <v>0</v>
      </c>
      <c r="N48" s="258">
        <f>SUM(N16:N46)</f>
        <v>13895</v>
      </c>
      <c r="O48" s="195">
        <f t="shared" si="5"/>
        <v>0</v>
      </c>
      <c r="P48" s="195">
        <f t="shared" si="5"/>
        <v>0</v>
      </c>
      <c r="Q48" s="194">
        <f>SUM(Q16:Q46)</f>
        <v>13895</v>
      </c>
      <c r="R48" s="185">
        <f>SUM(R16:R46)</f>
        <v>13895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13895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pageSetup orientation="portrait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3" zoomScale="70" zoomScaleNormal="70" workbookViewId="0">
      <pane xSplit="1" topLeftCell="B1" activePane="topRight" state="frozen"/>
      <selection activeCell="R13" sqref="R13"/>
      <selection pane="topRight" activeCell="L45" sqref="L4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24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32</v>
      </c>
      <c r="L16" s="251">
        <f>72+71+95+370</f>
        <v>608</v>
      </c>
      <c r="M16" s="252"/>
      <c r="N16" s="256">
        <f>+K16+L16+M16</f>
        <v>640</v>
      </c>
      <c r="O16" s="235"/>
      <c r="P16" s="234"/>
      <c r="Q16" s="187">
        <f>+P16+O16+N16</f>
        <v>640</v>
      </c>
      <c r="R16" s="183">
        <f>+Q16+J16+F16</f>
        <v>640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32</v>
      </c>
      <c r="L17" s="251">
        <f>78+75+90+175</f>
        <v>418</v>
      </c>
      <c r="M17" s="252"/>
      <c r="N17" s="256">
        <f t="shared" ref="N17:N46" si="2">+K17+L17+M17</f>
        <v>450</v>
      </c>
      <c r="O17" s="213"/>
      <c r="P17" s="214"/>
      <c r="Q17" s="187">
        <f t="shared" ref="Q17:Q46" si="3">+P17+O17+N17</f>
        <v>450</v>
      </c>
      <c r="R17" s="183">
        <f t="shared" ref="R17:R46" si="4">+Q17+J17+F17</f>
        <v>450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32</v>
      </c>
      <c r="L20" s="251">
        <f>66+60+92+305</f>
        <v>523</v>
      </c>
      <c r="M20" s="252"/>
      <c r="N20" s="256">
        <f t="shared" si="2"/>
        <v>555</v>
      </c>
      <c r="O20" s="213"/>
      <c r="P20" s="214"/>
      <c r="Q20" s="187">
        <f t="shared" si="3"/>
        <v>555</v>
      </c>
      <c r="R20" s="183">
        <f t="shared" si="4"/>
        <v>555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32</v>
      </c>
      <c r="L21" s="251">
        <f>50+60+92+276</f>
        <v>478</v>
      </c>
      <c r="M21" s="252"/>
      <c r="N21" s="256">
        <f t="shared" si="2"/>
        <v>510</v>
      </c>
      <c r="O21" s="213"/>
      <c r="P21" s="214"/>
      <c r="Q21" s="187">
        <f t="shared" si="3"/>
        <v>510</v>
      </c>
      <c r="R21" s="183">
        <f t="shared" si="4"/>
        <v>510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32</v>
      </c>
      <c r="L22" s="251">
        <f>50+60+92+286</f>
        <v>488</v>
      </c>
      <c r="M22" s="252"/>
      <c r="N22" s="256">
        <f t="shared" si="2"/>
        <v>520</v>
      </c>
      <c r="O22" s="213"/>
      <c r="P22" s="214"/>
      <c r="Q22" s="187">
        <f t="shared" si="3"/>
        <v>520</v>
      </c>
      <c r="R22" s="183">
        <f t="shared" si="4"/>
        <v>520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32</v>
      </c>
      <c r="L23" s="251">
        <f>50+62+90+273</f>
        <v>475</v>
      </c>
      <c r="M23" s="252"/>
      <c r="N23" s="256">
        <f t="shared" si="2"/>
        <v>507</v>
      </c>
      <c r="O23" s="213"/>
      <c r="P23" s="214"/>
      <c r="Q23" s="187">
        <f t="shared" si="3"/>
        <v>507</v>
      </c>
      <c r="R23" s="183">
        <f t="shared" si="4"/>
        <v>507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32</v>
      </c>
      <c r="L24" s="251">
        <f>55+60+85+364</f>
        <v>564</v>
      </c>
      <c r="M24" s="252"/>
      <c r="N24" s="256">
        <f t="shared" si="2"/>
        <v>596</v>
      </c>
      <c r="O24" s="213"/>
      <c r="P24" s="214"/>
      <c r="Q24" s="187">
        <f t="shared" si="3"/>
        <v>596</v>
      </c>
      <c r="R24" s="183">
        <f t="shared" si="4"/>
        <v>596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32</v>
      </c>
      <c r="L27" s="251">
        <f>55+60+80+384</f>
        <v>579</v>
      </c>
      <c r="M27" s="252"/>
      <c r="N27" s="256">
        <f t="shared" si="2"/>
        <v>611</v>
      </c>
      <c r="O27" s="213"/>
      <c r="P27" s="214"/>
      <c r="Q27" s="187">
        <f t="shared" si="3"/>
        <v>611</v>
      </c>
      <c r="R27" s="183">
        <f t="shared" si="4"/>
        <v>611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32</v>
      </c>
      <c r="L28" s="251">
        <f>55+65+90+327</f>
        <v>537</v>
      </c>
      <c r="M28" s="252"/>
      <c r="N28" s="256">
        <f t="shared" si="2"/>
        <v>569</v>
      </c>
      <c r="O28" s="213"/>
      <c r="P28" s="214"/>
      <c r="Q28" s="187">
        <f t="shared" si="3"/>
        <v>569</v>
      </c>
      <c r="R28" s="183">
        <f t="shared" si="4"/>
        <v>569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32</v>
      </c>
      <c r="L29" s="251">
        <f>60+65+90+420</f>
        <v>635</v>
      </c>
      <c r="M29" s="252"/>
      <c r="N29" s="256">
        <f t="shared" si="2"/>
        <v>667</v>
      </c>
      <c r="O29" s="213"/>
      <c r="P29" s="214"/>
      <c r="Q29" s="187">
        <f t="shared" si="3"/>
        <v>667</v>
      </c>
      <c r="R29" s="183">
        <f t="shared" si="4"/>
        <v>667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32</v>
      </c>
      <c r="L30" s="251">
        <f>60+65+65+20+277</f>
        <v>487</v>
      </c>
      <c r="M30" s="252"/>
      <c r="N30" s="256">
        <f t="shared" si="2"/>
        <v>519</v>
      </c>
      <c r="O30" s="213"/>
      <c r="P30" s="214"/>
      <c r="Q30" s="187">
        <f t="shared" si="3"/>
        <v>519</v>
      </c>
      <c r="R30" s="183">
        <f t="shared" si="4"/>
        <v>519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32</v>
      </c>
      <c r="L31" s="251">
        <f>60+65+65+329</f>
        <v>519</v>
      </c>
      <c r="M31" s="252"/>
      <c r="N31" s="256">
        <f t="shared" si="2"/>
        <v>551</v>
      </c>
      <c r="O31" s="213"/>
      <c r="P31" s="214"/>
      <c r="Q31" s="187">
        <f t="shared" si="3"/>
        <v>551</v>
      </c>
      <c r="R31" s="183">
        <f t="shared" si="4"/>
        <v>551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</v>
      </c>
      <c r="L34" s="251">
        <f>1040+98+98</f>
        <v>1236</v>
      </c>
      <c r="M34" s="252"/>
      <c r="N34" s="256">
        <f t="shared" si="2"/>
        <v>1244</v>
      </c>
      <c r="O34" s="213"/>
      <c r="P34" s="214"/>
      <c r="Q34" s="187">
        <f t="shared" si="3"/>
        <v>1244</v>
      </c>
      <c r="R34" s="183">
        <f t="shared" si="4"/>
        <v>1244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12</v>
      </c>
      <c r="L35" s="251">
        <f>118+221+351+60+25+30</f>
        <v>805</v>
      </c>
      <c r="M35" s="252"/>
      <c r="N35" s="256">
        <f t="shared" si="2"/>
        <v>817</v>
      </c>
      <c r="O35" s="213"/>
      <c r="P35" s="214"/>
      <c r="Q35" s="187">
        <f t="shared" si="3"/>
        <v>817</v>
      </c>
      <c r="R35" s="183">
        <f t="shared" si="4"/>
        <v>817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32</v>
      </c>
      <c r="L36" s="251">
        <f>240+60+455+39+130+88</f>
        <v>1012</v>
      </c>
      <c r="M36" s="252"/>
      <c r="N36" s="256">
        <f t="shared" si="2"/>
        <v>1044</v>
      </c>
      <c r="O36" s="213"/>
      <c r="P36" s="214"/>
      <c r="Q36" s="187">
        <f t="shared" si="3"/>
        <v>1044</v>
      </c>
      <c r="R36" s="183">
        <f t="shared" si="4"/>
        <v>1044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32</v>
      </c>
      <c r="L37" s="251">
        <f>198+78+195+80+150+100+195</f>
        <v>996</v>
      </c>
      <c r="M37" s="252"/>
      <c r="N37" s="256">
        <f t="shared" si="2"/>
        <v>1028</v>
      </c>
      <c r="O37" s="213"/>
      <c r="P37" s="214"/>
      <c r="Q37" s="187">
        <f t="shared" si="3"/>
        <v>1028</v>
      </c>
      <c r="R37" s="183">
        <f t="shared" si="4"/>
        <v>1028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32</v>
      </c>
      <c r="L38" s="251">
        <f>317+268+136</f>
        <v>721</v>
      </c>
      <c r="M38" s="252"/>
      <c r="N38" s="256">
        <f t="shared" si="2"/>
        <v>753</v>
      </c>
      <c r="O38" s="213"/>
      <c r="P38" s="214"/>
      <c r="Q38" s="187">
        <f t="shared" si="3"/>
        <v>753</v>
      </c>
      <c r="R38" s="183">
        <f t="shared" si="4"/>
        <v>753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8</v>
      </c>
      <c r="L39" s="251">
        <v>94</v>
      </c>
      <c r="M39" s="252"/>
      <c r="N39" s="256">
        <f t="shared" si="2"/>
        <v>102</v>
      </c>
      <c r="O39" s="213"/>
      <c r="P39" s="214"/>
      <c r="Q39" s="187">
        <f t="shared" si="3"/>
        <v>102</v>
      </c>
      <c r="R39" s="183">
        <f t="shared" si="4"/>
        <v>102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6</v>
      </c>
      <c r="L40" s="251">
        <v>208</v>
      </c>
      <c r="M40" s="252"/>
      <c r="N40" s="256">
        <f t="shared" si="2"/>
        <v>214</v>
      </c>
      <c r="O40" s="213"/>
      <c r="P40" s="214"/>
      <c r="Q40" s="187">
        <f t="shared" si="3"/>
        <v>214</v>
      </c>
      <c r="R40" s="183">
        <f t="shared" si="4"/>
        <v>214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32</v>
      </c>
      <c r="L41" s="251">
        <f>269+39+50+159+110</f>
        <v>627</v>
      </c>
      <c r="M41" s="252"/>
      <c r="N41" s="256">
        <f t="shared" si="2"/>
        <v>659</v>
      </c>
      <c r="O41" s="213"/>
      <c r="P41" s="214"/>
      <c r="Q41" s="187">
        <f t="shared" si="3"/>
        <v>659</v>
      </c>
      <c r="R41" s="183">
        <f t="shared" si="4"/>
        <v>659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32</v>
      </c>
      <c r="L42" s="251">
        <f>303+98+33+40+155+195</f>
        <v>824</v>
      </c>
      <c r="M42" s="252"/>
      <c r="N42" s="256">
        <f t="shared" si="2"/>
        <v>856</v>
      </c>
      <c r="O42" s="213"/>
      <c r="P42" s="214"/>
      <c r="Q42" s="187">
        <f t="shared" si="3"/>
        <v>856</v>
      </c>
      <c r="R42" s="183">
        <f t="shared" si="4"/>
        <v>856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32</v>
      </c>
      <c r="L43" s="251">
        <f>398+115+95+117</f>
        <v>725</v>
      </c>
      <c r="M43" s="252"/>
      <c r="N43" s="256">
        <f t="shared" si="2"/>
        <v>757</v>
      </c>
      <c r="O43" s="213"/>
      <c r="P43" s="214"/>
      <c r="Q43" s="187">
        <f t="shared" si="3"/>
        <v>757</v>
      </c>
      <c r="R43" s="183">
        <f t="shared" si="4"/>
        <v>757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32</v>
      </c>
      <c r="L44" s="251">
        <f>87+80+100+491</f>
        <v>758</v>
      </c>
      <c r="M44" s="252"/>
      <c r="N44" s="256">
        <f t="shared" si="2"/>
        <v>790</v>
      </c>
      <c r="O44" s="213"/>
      <c r="P44" s="214"/>
      <c r="Q44" s="187">
        <f t="shared" si="3"/>
        <v>790</v>
      </c>
      <c r="R44" s="183">
        <f t="shared" si="4"/>
        <v>790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32</v>
      </c>
      <c r="L45" s="251">
        <f>90+105+75+448</f>
        <v>718</v>
      </c>
      <c r="M45" s="252"/>
      <c r="N45" s="256">
        <f t="shared" si="2"/>
        <v>750</v>
      </c>
      <c r="O45" s="213"/>
      <c r="P45" s="214"/>
      <c r="Q45" s="187">
        <f t="shared" si="3"/>
        <v>750</v>
      </c>
      <c r="R45" s="183">
        <f t="shared" si="4"/>
        <v>750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674</v>
      </c>
      <c r="L48" s="259">
        <f t="shared" si="5"/>
        <v>15035</v>
      </c>
      <c r="M48" s="260">
        <f t="shared" si="5"/>
        <v>0</v>
      </c>
      <c r="N48" s="258">
        <f>SUM(N16:N46)</f>
        <v>15709</v>
      </c>
      <c r="O48" s="195">
        <f t="shared" si="5"/>
        <v>0</v>
      </c>
      <c r="P48" s="195">
        <f t="shared" si="5"/>
        <v>0</v>
      </c>
      <c r="Q48" s="194">
        <f>SUM(Q16:Q46)</f>
        <v>15709</v>
      </c>
      <c r="R48" s="185">
        <f>SUM(R16:R46)</f>
        <v>15709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15709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42" zoomScale="63" zoomScaleNormal="63" workbookViewId="0">
      <pane xSplit="1" topLeftCell="B1" activePane="topRight" state="frozen"/>
      <selection activeCell="R13" sqref="R13"/>
      <selection pane="topRight" activeCell="M36" sqref="M3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30</v>
      </c>
      <c r="L16" s="251">
        <f>986+500+100+100+100+20+20+50+14+10+300+200+50</f>
        <v>2450</v>
      </c>
      <c r="M16" s="252"/>
      <c r="N16" s="256">
        <f>+K16+L16+M16</f>
        <v>2480</v>
      </c>
      <c r="O16" s="235"/>
      <c r="P16" s="234"/>
      <c r="Q16" s="187">
        <f>+P16+O16+N16</f>
        <v>2480</v>
      </c>
      <c r="R16" s="183">
        <f>+Q16+J16+F16</f>
        <v>2480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30</v>
      </c>
      <c r="L17" s="251">
        <f>996+500+50+14+300+50+30+20+200+100+250+100+100+100</f>
        <v>2810</v>
      </c>
      <c r="M17" s="252"/>
      <c r="N17" s="256">
        <f t="shared" ref="N17:N46" si="2">+K17+L17+M17</f>
        <v>2840</v>
      </c>
      <c r="O17" s="213"/>
      <c r="P17" s="214"/>
      <c r="Q17" s="187">
        <f t="shared" ref="Q17:Q46" si="3">+P17+O17+N17</f>
        <v>2840</v>
      </c>
      <c r="R17" s="183">
        <f t="shared" ref="R17:R46" si="4">+Q17+J17+F17</f>
        <v>2840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15</v>
      </c>
      <c r="L18" s="251">
        <f>400+175</f>
        <v>575</v>
      </c>
      <c r="M18" s="252"/>
      <c r="N18" s="256">
        <f t="shared" si="2"/>
        <v>590</v>
      </c>
      <c r="O18" s="213"/>
      <c r="P18" s="214"/>
      <c r="Q18" s="187">
        <f t="shared" si="3"/>
        <v>590</v>
      </c>
      <c r="R18" s="183">
        <f t="shared" si="4"/>
        <v>590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25</v>
      </c>
      <c r="L20" s="251">
        <f>736+500+300+50+14+200+20+20+100+100+100+50+10+275</f>
        <v>2475</v>
      </c>
      <c r="M20" s="252"/>
      <c r="N20" s="256">
        <f t="shared" si="2"/>
        <v>2500</v>
      </c>
      <c r="O20" s="213"/>
      <c r="P20" s="214"/>
      <c r="Q20" s="187">
        <f t="shared" si="3"/>
        <v>2500</v>
      </c>
      <c r="R20" s="183">
        <f t="shared" si="4"/>
        <v>2500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30</v>
      </c>
      <c r="L21" s="251">
        <f>996+500+300+100+100+100+20+50+14+10+20+50</f>
        <v>2260</v>
      </c>
      <c r="M21" s="252"/>
      <c r="N21" s="256">
        <f t="shared" si="2"/>
        <v>2290</v>
      </c>
      <c r="O21" s="213"/>
      <c r="P21" s="214"/>
      <c r="Q21" s="187">
        <f t="shared" si="3"/>
        <v>2290</v>
      </c>
      <c r="R21" s="183">
        <f t="shared" si="4"/>
        <v>2290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30</v>
      </c>
      <c r="L22" s="251">
        <f>985+500+300+200+100+100+100+15+50+50+10+20+20+20</f>
        <v>2470</v>
      </c>
      <c r="M22" s="252"/>
      <c r="N22" s="256">
        <f t="shared" si="2"/>
        <v>2500</v>
      </c>
      <c r="O22" s="213"/>
      <c r="P22" s="214"/>
      <c r="Q22" s="187">
        <f t="shared" si="3"/>
        <v>2500</v>
      </c>
      <c r="R22" s="183">
        <f t="shared" si="4"/>
        <v>2500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25</v>
      </c>
      <c r="L23" s="251">
        <f>935+500+275+100+100+100+50+50+15+20+10+20+300</f>
        <v>2475</v>
      </c>
      <c r="M23" s="252"/>
      <c r="N23" s="256">
        <f t="shared" si="2"/>
        <v>2500</v>
      </c>
      <c r="O23" s="213"/>
      <c r="P23" s="214"/>
      <c r="Q23" s="187">
        <f t="shared" si="3"/>
        <v>2500</v>
      </c>
      <c r="R23" s="183">
        <f t="shared" si="4"/>
        <v>2500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25</v>
      </c>
      <c r="L24" s="251">
        <f>735+500+200+275+100+100+100+50+50+15+20+10+20+300</f>
        <v>2475</v>
      </c>
      <c r="M24" s="252"/>
      <c r="N24" s="256">
        <f t="shared" si="2"/>
        <v>2500</v>
      </c>
      <c r="O24" s="213"/>
      <c r="P24" s="214"/>
      <c r="Q24" s="187">
        <f t="shared" si="3"/>
        <v>2500</v>
      </c>
      <c r="R24" s="183">
        <f t="shared" si="4"/>
        <v>2500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15</v>
      </c>
      <c r="L25" s="251">
        <v>200</v>
      </c>
      <c r="M25" s="252"/>
      <c r="N25" s="256">
        <f t="shared" si="2"/>
        <v>215</v>
      </c>
      <c r="O25" s="213"/>
      <c r="P25" s="214"/>
      <c r="Q25" s="187">
        <f t="shared" si="3"/>
        <v>215</v>
      </c>
      <c r="R25" s="183">
        <f t="shared" si="4"/>
        <v>215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30</v>
      </c>
      <c r="L27" s="251">
        <f>995+500+200+300+100+100+100+50+50+15+10+20+20+10</f>
        <v>2470</v>
      </c>
      <c r="M27" s="252"/>
      <c r="N27" s="256">
        <f t="shared" si="2"/>
        <v>2500</v>
      </c>
      <c r="O27" s="213"/>
      <c r="P27" s="214"/>
      <c r="Q27" s="187">
        <f t="shared" si="3"/>
        <v>2500</v>
      </c>
      <c r="R27" s="183">
        <f t="shared" si="4"/>
        <v>2500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30</v>
      </c>
      <c r="L28" s="251">
        <f>996+500+14+30+20+50+20+100+100+100+300+10+30</f>
        <v>2270</v>
      </c>
      <c r="M28" s="252"/>
      <c r="N28" s="256">
        <f t="shared" si="2"/>
        <v>2300</v>
      </c>
      <c r="O28" s="213"/>
      <c r="P28" s="214"/>
      <c r="Q28" s="187">
        <f t="shared" si="3"/>
        <v>2300</v>
      </c>
      <c r="R28" s="183">
        <f t="shared" si="4"/>
        <v>2300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30</v>
      </c>
      <c r="L29" s="251">
        <f>776+500+300+200+100+100+100+50+30+20+20+50+14+10+30</f>
        <v>2300</v>
      </c>
      <c r="M29" s="252"/>
      <c r="N29" s="256">
        <f t="shared" si="2"/>
        <v>2330</v>
      </c>
      <c r="O29" s="213"/>
      <c r="P29" s="214"/>
      <c r="Q29" s="187">
        <f t="shared" si="3"/>
        <v>2330</v>
      </c>
      <c r="R29" s="183">
        <f t="shared" si="4"/>
        <v>2330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30</v>
      </c>
      <c r="L30" s="251">
        <f>956+500+300+100+100+100+50+50+14+30+20+20+10</f>
        <v>2250</v>
      </c>
      <c r="M30" s="252"/>
      <c r="N30" s="256">
        <f t="shared" si="2"/>
        <v>2280</v>
      </c>
      <c r="O30" s="213"/>
      <c r="P30" s="214"/>
      <c r="Q30" s="187">
        <f t="shared" si="3"/>
        <v>2280</v>
      </c>
      <c r="R30" s="183">
        <f t="shared" si="4"/>
        <v>2280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30</v>
      </c>
      <c r="L31" s="251">
        <f>956+500+300+200+100+20+100+100+50+50+14+30+20+10+50</f>
        <v>2500</v>
      </c>
      <c r="M31" s="252"/>
      <c r="N31" s="256">
        <f t="shared" si="2"/>
        <v>2530</v>
      </c>
      <c r="O31" s="213"/>
      <c r="P31" s="214"/>
      <c r="Q31" s="187">
        <f t="shared" si="3"/>
        <v>2530</v>
      </c>
      <c r="R31" s="183">
        <f t="shared" si="4"/>
        <v>2530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30</v>
      </c>
      <c r="L34" s="251">
        <f>996+300+455+130+100+200+150+20+50+156+50+14+20</f>
        <v>2641</v>
      </c>
      <c r="M34" s="252"/>
      <c r="N34" s="256">
        <f t="shared" si="2"/>
        <v>2671</v>
      </c>
      <c r="O34" s="213"/>
      <c r="P34" s="214"/>
      <c r="Q34" s="187">
        <f t="shared" si="3"/>
        <v>2671</v>
      </c>
      <c r="R34" s="183">
        <f t="shared" si="4"/>
        <v>2671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25</v>
      </c>
      <c r="L35" s="251">
        <f>991+500+300+100+100+100+50+50+20+20+14</f>
        <v>2245</v>
      </c>
      <c r="M35" s="252"/>
      <c r="N35" s="256">
        <f t="shared" si="2"/>
        <v>2270</v>
      </c>
      <c r="O35" s="213"/>
      <c r="P35" s="214"/>
      <c r="Q35" s="187">
        <f t="shared" si="3"/>
        <v>2270</v>
      </c>
      <c r="R35" s="183">
        <f t="shared" si="4"/>
        <v>2270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30</v>
      </c>
      <c r="L36" s="251">
        <f>926+400+300+260+50+50+14+100+100+100+20+10+200</f>
        <v>2530</v>
      </c>
      <c r="M36" s="252"/>
      <c r="N36" s="256">
        <f t="shared" si="2"/>
        <v>2560</v>
      </c>
      <c r="O36" s="213"/>
      <c r="P36" s="214"/>
      <c r="Q36" s="187">
        <f t="shared" si="3"/>
        <v>2560</v>
      </c>
      <c r="R36" s="183">
        <f t="shared" si="4"/>
        <v>2560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30</v>
      </c>
      <c r="L37" s="251">
        <f>926+500+300+200+100+100+100+60+50+50+40+20+10+14</f>
        <v>2470</v>
      </c>
      <c r="M37" s="252"/>
      <c r="N37" s="256">
        <f t="shared" si="2"/>
        <v>2500</v>
      </c>
      <c r="O37" s="213"/>
      <c r="P37" s="214"/>
      <c r="Q37" s="187">
        <f t="shared" si="3"/>
        <v>2500</v>
      </c>
      <c r="R37" s="183">
        <f t="shared" si="4"/>
        <v>2500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30</v>
      </c>
      <c r="L38" s="251">
        <f>996+400+300+200+100+100+100+50+20+14+30+60+250</f>
        <v>2620</v>
      </c>
      <c r="M38" s="252"/>
      <c r="N38" s="256">
        <f t="shared" si="2"/>
        <v>2650</v>
      </c>
      <c r="O38" s="213"/>
      <c r="P38" s="214"/>
      <c r="Q38" s="187">
        <f t="shared" si="3"/>
        <v>2650</v>
      </c>
      <c r="R38" s="183">
        <f t="shared" si="4"/>
        <v>2650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30</v>
      </c>
      <c r="L41" s="251">
        <f>950+300+500+200+50+50+100+100+100+50+20+10+40</f>
        <v>2470</v>
      </c>
      <c r="M41" s="252"/>
      <c r="N41" s="256">
        <f t="shared" si="2"/>
        <v>2500</v>
      </c>
      <c r="O41" s="213"/>
      <c r="P41" s="214"/>
      <c r="Q41" s="187">
        <f t="shared" si="3"/>
        <v>2500</v>
      </c>
      <c r="R41" s="183">
        <f t="shared" si="4"/>
        <v>2500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30</v>
      </c>
      <c r="L42" s="251">
        <f>976+500+300+100+100+100+150+50+50+20+40+10+14+60</f>
        <v>2470</v>
      </c>
      <c r="M42" s="252"/>
      <c r="N42" s="256">
        <f t="shared" si="2"/>
        <v>2500</v>
      </c>
      <c r="O42" s="213"/>
      <c r="P42" s="214"/>
      <c r="Q42" s="187">
        <f t="shared" si="3"/>
        <v>2500</v>
      </c>
      <c r="R42" s="183">
        <f t="shared" si="4"/>
        <v>2500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25</v>
      </c>
      <c r="L43" s="251">
        <f>905+500+300+200+100+100+100+150+50+20+40+10</f>
        <v>2475</v>
      </c>
      <c r="M43" s="252"/>
      <c r="N43" s="256">
        <f t="shared" si="2"/>
        <v>2500</v>
      </c>
      <c r="O43" s="213"/>
      <c r="P43" s="214"/>
      <c r="Q43" s="187">
        <f t="shared" si="3"/>
        <v>2500</v>
      </c>
      <c r="R43" s="183">
        <f t="shared" si="4"/>
        <v>2500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25</v>
      </c>
      <c r="L44" s="251">
        <f>905+500+300+100+100+100+150+50+40+20+10</f>
        <v>2275</v>
      </c>
      <c r="M44" s="252"/>
      <c r="N44" s="256">
        <f t="shared" si="2"/>
        <v>2300</v>
      </c>
      <c r="O44" s="213"/>
      <c r="P44" s="214"/>
      <c r="Q44" s="187">
        <f t="shared" si="3"/>
        <v>2300</v>
      </c>
      <c r="R44" s="183">
        <f t="shared" si="4"/>
        <v>2300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25</v>
      </c>
      <c r="L45" s="251">
        <f>891+500+300+200+300+150+50+40+20+14+10</f>
        <v>2475</v>
      </c>
      <c r="M45" s="252"/>
      <c r="N45" s="256">
        <f t="shared" si="2"/>
        <v>2500</v>
      </c>
      <c r="O45" s="213"/>
      <c r="P45" s="214"/>
      <c r="Q45" s="187">
        <f t="shared" si="3"/>
        <v>2500</v>
      </c>
      <c r="R45" s="183">
        <f t="shared" si="4"/>
        <v>2500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655</v>
      </c>
      <c r="L48" s="259">
        <f t="shared" si="5"/>
        <v>54651</v>
      </c>
      <c r="M48" s="260">
        <f t="shared" si="5"/>
        <v>0</v>
      </c>
      <c r="N48" s="258">
        <f>SUM(N16:N46)</f>
        <v>55306</v>
      </c>
      <c r="O48" s="195">
        <f t="shared" si="5"/>
        <v>0</v>
      </c>
      <c r="P48" s="195">
        <f t="shared" si="5"/>
        <v>0</v>
      </c>
      <c r="Q48" s="194">
        <f>SUM(Q16:Q46)</f>
        <v>55306</v>
      </c>
      <c r="R48" s="185">
        <f>SUM(R16:R46)</f>
        <v>55306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55306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spans="5:5" ht="15" customHeight="1" x14ac:dyDescent="0.3">
      <c r="E65" s="89" t="s">
        <v>180</v>
      </c>
    </row>
    <row r="66" spans="5:5" ht="15" customHeight="1" x14ac:dyDescent="0.3"/>
    <row r="67" spans="5:5" ht="15" customHeight="1" x14ac:dyDescent="0.3"/>
    <row r="68" spans="5:5" ht="15" customHeight="1" x14ac:dyDescent="0.3"/>
    <row r="69" spans="5:5" ht="15" customHeight="1" x14ac:dyDescent="0.3"/>
    <row r="70" spans="5:5" ht="15" customHeight="1" x14ac:dyDescent="0.3"/>
    <row r="71" spans="5:5" ht="15" customHeight="1" x14ac:dyDescent="0.3"/>
    <row r="72" spans="5:5" ht="15" customHeight="1" x14ac:dyDescent="0.3"/>
    <row r="73" spans="5:5" ht="15" customHeight="1" x14ac:dyDescent="0.3"/>
    <row r="74" spans="5:5" ht="15" customHeight="1" x14ac:dyDescent="0.3"/>
    <row r="75" spans="5:5" ht="15" customHeight="1" x14ac:dyDescent="0.3"/>
    <row r="76" spans="5:5" ht="15" customHeight="1" x14ac:dyDescent="0.3"/>
    <row r="77" spans="5:5" ht="15" customHeight="1" x14ac:dyDescent="0.3"/>
    <row r="78" spans="5:5" ht="15" customHeight="1" x14ac:dyDescent="0.3"/>
    <row r="79" spans="5:5" ht="15" customHeight="1" x14ac:dyDescent="0.3"/>
    <row r="80" spans="5:5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2" zoomScale="72" zoomScaleNormal="72" workbookViewId="0">
      <pane xSplit="1" topLeftCell="B1" activePane="topRight" state="frozen"/>
      <selection activeCell="R13" sqref="R13"/>
      <selection pane="topRight" activeCell="M40" sqref="M40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28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26</v>
      </c>
      <c r="L16" s="251">
        <f>1140+570</f>
        <v>1710</v>
      </c>
      <c r="M16" s="252"/>
      <c r="N16" s="256">
        <f>+K16+L16+M16</f>
        <v>1736</v>
      </c>
      <c r="O16" s="235"/>
      <c r="P16" s="234"/>
      <c r="Q16" s="187">
        <f>+P16+O16+N16</f>
        <v>1736</v>
      </c>
      <c r="R16" s="183">
        <f>+Q16+J16+F16</f>
        <v>1736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/>
      <c r="L17" s="251"/>
      <c r="M17" s="252"/>
      <c r="N17" s="256">
        <f t="shared" ref="N17:N46" si="2">+K17+L17+M17</f>
        <v>0</v>
      </c>
      <c r="O17" s="213"/>
      <c r="P17" s="214"/>
      <c r="Q17" s="187">
        <f t="shared" ref="Q17:Q46" si="3">+P17+O17+N17</f>
        <v>0</v>
      </c>
      <c r="R17" s="183">
        <f t="shared" ref="R17:R46" si="4">+Q17+J17+F17</f>
        <v>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4</v>
      </c>
      <c r="L18" s="251">
        <v>204</v>
      </c>
      <c r="M18" s="252"/>
      <c r="N18" s="256">
        <f t="shared" si="2"/>
        <v>208</v>
      </c>
      <c r="O18" s="213"/>
      <c r="P18" s="214"/>
      <c r="Q18" s="187">
        <f t="shared" si="3"/>
        <v>208</v>
      </c>
      <c r="R18" s="183">
        <f t="shared" si="4"/>
        <v>208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10</v>
      </c>
      <c r="L19" s="251">
        <v>380</v>
      </c>
      <c r="M19" s="252"/>
      <c r="N19" s="256">
        <f t="shared" si="2"/>
        <v>390</v>
      </c>
      <c r="O19" s="213"/>
      <c r="P19" s="214"/>
      <c r="Q19" s="187">
        <f t="shared" si="3"/>
        <v>390</v>
      </c>
      <c r="R19" s="183">
        <f t="shared" si="4"/>
        <v>390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25</v>
      </c>
      <c r="L20" s="251">
        <f>1205+570</f>
        <v>1775</v>
      </c>
      <c r="M20" s="252"/>
      <c r="N20" s="256">
        <f t="shared" si="2"/>
        <v>1800</v>
      </c>
      <c r="O20" s="213"/>
      <c r="P20" s="214"/>
      <c r="Q20" s="187">
        <f t="shared" si="3"/>
        <v>1800</v>
      </c>
      <c r="R20" s="183">
        <f t="shared" si="4"/>
        <v>1800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25</v>
      </c>
      <c r="L21" s="251">
        <f>1205+570</f>
        <v>1775</v>
      </c>
      <c r="M21" s="252"/>
      <c r="N21" s="256">
        <f t="shared" si="2"/>
        <v>1800</v>
      </c>
      <c r="O21" s="213"/>
      <c r="P21" s="214"/>
      <c r="Q21" s="187">
        <f t="shared" si="3"/>
        <v>1800</v>
      </c>
      <c r="R21" s="183">
        <f t="shared" si="4"/>
        <v>1800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25</v>
      </c>
      <c r="L22" s="251">
        <f>1185+590</f>
        <v>1775</v>
      </c>
      <c r="M22" s="252"/>
      <c r="N22" s="256">
        <f t="shared" si="2"/>
        <v>1800</v>
      </c>
      <c r="O22" s="213"/>
      <c r="P22" s="214"/>
      <c r="Q22" s="187">
        <f t="shared" si="3"/>
        <v>1800</v>
      </c>
      <c r="R22" s="183">
        <f t="shared" si="4"/>
        <v>1800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25</v>
      </c>
      <c r="L23" s="251">
        <f>1195+700</f>
        <v>1895</v>
      </c>
      <c r="M23" s="252"/>
      <c r="N23" s="256">
        <f t="shared" si="2"/>
        <v>1920</v>
      </c>
      <c r="O23" s="213"/>
      <c r="P23" s="214"/>
      <c r="Q23" s="187">
        <f t="shared" si="3"/>
        <v>1920</v>
      </c>
      <c r="R23" s="183">
        <f t="shared" si="4"/>
        <v>1920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25</v>
      </c>
      <c r="L24" s="251">
        <f>1085+910</f>
        <v>1995</v>
      </c>
      <c r="M24" s="252"/>
      <c r="N24" s="256">
        <f t="shared" si="2"/>
        <v>2020</v>
      </c>
      <c r="O24" s="213"/>
      <c r="P24" s="214"/>
      <c r="Q24" s="187">
        <f t="shared" si="3"/>
        <v>2020</v>
      </c>
      <c r="R24" s="183">
        <f t="shared" si="4"/>
        <v>2020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10</v>
      </c>
      <c r="L25" s="251">
        <v>150</v>
      </c>
      <c r="M25" s="252"/>
      <c r="N25" s="256">
        <f t="shared" si="2"/>
        <v>160</v>
      </c>
      <c r="O25" s="213"/>
      <c r="P25" s="214"/>
      <c r="Q25" s="187">
        <f t="shared" si="3"/>
        <v>160</v>
      </c>
      <c r="R25" s="183">
        <f t="shared" si="4"/>
        <v>160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25</v>
      </c>
      <c r="L27" s="251">
        <f>1325+570</f>
        <v>1895</v>
      </c>
      <c r="M27" s="252"/>
      <c r="N27" s="256">
        <f t="shared" si="2"/>
        <v>1920</v>
      </c>
      <c r="O27" s="213"/>
      <c r="P27" s="214"/>
      <c r="Q27" s="187">
        <f t="shared" si="3"/>
        <v>1920</v>
      </c>
      <c r="R27" s="183">
        <f t="shared" si="4"/>
        <v>1920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25</v>
      </c>
      <c r="L28" s="251">
        <f>1325+570</f>
        <v>1895</v>
      </c>
      <c r="M28" s="252"/>
      <c r="N28" s="256">
        <f t="shared" si="2"/>
        <v>1920</v>
      </c>
      <c r="O28" s="213"/>
      <c r="P28" s="214"/>
      <c r="Q28" s="187">
        <f t="shared" si="3"/>
        <v>1920</v>
      </c>
      <c r="R28" s="183">
        <f t="shared" si="4"/>
        <v>1920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25</v>
      </c>
      <c r="L29" s="251">
        <f>1325+570</f>
        <v>1895</v>
      </c>
      <c r="M29" s="252"/>
      <c r="N29" s="256">
        <f t="shared" si="2"/>
        <v>1920</v>
      </c>
      <c r="O29" s="213"/>
      <c r="P29" s="214"/>
      <c r="Q29" s="187">
        <f t="shared" si="3"/>
        <v>1920</v>
      </c>
      <c r="R29" s="183">
        <f t="shared" si="4"/>
        <v>1920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25</v>
      </c>
      <c r="L30" s="251">
        <f>1215+720</f>
        <v>1935</v>
      </c>
      <c r="M30" s="252"/>
      <c r="N30" s="256">
        <f t="shared" si="2"/>
        <v>1960</v>
      </c>
      <c r="O30" s="213"/>
      <c r="P30" s="214"/>
      <c r="Q30" s="187">
        <f t="shared" si="3"/>
        <v>1960</v>
      </c>
      <c r="R30" s="183">
        <f t="shared" si="4"/>
        <v>1960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25</v>
      </c>
      <c r="L31" s="251">
        <f>1135+760</f>
        <v>1895</v>
      </c>
      <c r="M31" s="252"/>
      <c r="N31" s="256">
        <f t="shared" si="2"/>
        <v>1920</v>
      </c>
      <c r="O31" s="213"/>
      <c r="P31" s="214"/>
      <c r="Q31" s="187">
        <f t="shared" si="3"/>
        <v>1920</v>
      </c>
      <c r="R31" s="183">
        <f t="shared" si="4"/>
        <v>1920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22</v>
      </c>
      <c r="L33" s="251">
        <v>580</v>
      </c>
      <c r="M33" s="252"/>
      <c r="N33" s="256">
        <f t="shared" si="2"/>
        <v>602</v>
      </c>
      <c r="O33" s="213"/>
      <c r="P33" s="214"/>
      <c r="Q33" s="187">
        <f t="shared" si="3"/>
        <v>602</v>
      </c>
      <c r="R33" s="183">
        <f t="shared" si="4"/>
        <v>602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25</v>
      </c>
      <c r="L34" s="251">
        <f>200+2087</f>
        <v>2287</v>
      </c>
      <c r="M34" s="252"/>
      <c r="N34" s="256">
        <f t="shared" si="2"/>
        <v>2312</v>
      </c>
      <c r="O34" s="213"/>
      <c r="P34" s="214"/>
      <c r="Q34" s="187">
        <f t="shared" si="3"/>
        <v>2312</v>
      </c>
      <c r="R34" s="183">
        <f t="shared" si="4"/>
        <v>2312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25</v>
      </c>
      <c r="L35" s="251">
        <f>200+2292</f>
        <v>2492</v>
      </c>
      <c r="M35" s="252"/>
      <c r="N35" s="256">
        <f t="shared" si="2"/>
        <v>2517</v>
      </c>
      <c r="O35" s="213"/>
      <c r="P35" s="214"/>
      <c r="Q35" s="187">
        <f t="shared" si="3"/>
        <v>2517</v>
      </c>
      <c r="R35" s="183">
        <f t="shared" si="4"/>
        <v>2517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25</v>
      </c>
      <c r="L36" s="251">
        <f>200+2315</f>
        <v>2515</v>
      </c>
      <c r="M36" s="252"/>
      <c r="N36" s="256">
        <f t="shared" si="2"/>
        <v>2540</v>
      </c>
      <c r="O36" s="213"/>
      <c r="P36" s="214"/>
      <c r="Q36" s="187">
        <f t="shared" si="3"/>
        <v>2540</v>
      </c>
      <c r="R36" s="183">
        <f t="shared" si="4"/>
        <v>2540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25</v>
      </c>
      <c r="L37" s="251">
        <f>830+1125</f>
        <v>1955</v>
      </c>
      <c r="M37" s="252"/>
      <c r="N37" s="256">
        <f t="shared" si="2"/>
        <v>1980</v>
      </c>
      <c r="O37" s="213"/>
      <c r="P37" s="214"/>
      <c r="Q37" s="187">
        <f t="shared" si="3"/>
        <v>1980</v>
      </c>
      <c r="R37" s="183">
        <f t="shared" si="4"/>
        <v>1980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25</v>
      </c>
      <c r="L38" s="251">
        <f>1165+730</f>
        <v>1895</v>
      </c>
      <c r="M38" s="252"/>
      <c r="N38" s="256">
        <f t="shared" si="2"/>
        <v>1920</v>
      </c>
      <c r="O38" s="213"/>
      <c r="P38" s="214"/>
      <c r="Q38" s="187">
        <f t="shared" si="3"/>
        <v>1920</v>
      </c>
      <c r="R38" s="183">
        <f t="shared" si="4"/>
        <v>1920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10</v>
      </c>
      <c r="L39" s="251">
        <v>400</v>
      </c>
      <c r="M39" s="252"/>
      <c r="N39" s="256">
        <f t="shared" si="2"/>
        <v>410</v>
      </c>
      <c r="O39" s="213"/>
      <c r="P39" s="214"/>
      <c r="Q39" s="187">
        <f t="shared" si="3"/>
        <v>410</v>
      </c>
      <c r="R39" s="183">
        <f t="shared" si="4"/>
        <v>410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10</v>
      </c>
      <c r="L40" s="251">
        <v>490</v>
      </c>
      <c r="M40" s="252"/>
      <c r="N40" s="256">
        <f t="shared" si="2"/>
        <v>500</v>
      </c>
      <c r="O40" s="213"/>
      <c r="P40" s="214"/>
      <c r="Q40" s="187">
        <f t="shared" si="3"/>
        <v>500</v>
      </c>
      <c r="R40" s="183">
        <f t="shared" si="4"/>
        <v>500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25</v>
      </c>
      <c r="L41" s="251">
        <f>1345+470</f>
        <v>1815</v>
      </c>
      <c r="M41" s="252"/>
      <c r="N41" s="256">
        <f t="shared" si="2"/>
        <v>1840</v>
      </c>
      <c r="O41" s="213"/>
      <c r="P41" s="214"/>
      <c r="Q41" s="187">
        <f t="shared" si="3"/>
        <v>1840</v>
      </c>
      <c r="R41" s="183">
        <f t="shared" si="4"/>
        <v>1840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25</v>
      </c>
      <c r="L42" s="251">
        <f>1345+470</f>
        <v>1815</v>
      </c>
      <c r="M42" s="252"/>
      <c r="N42" s="256">
        <f t="shared" si="2"/>
        <v>1840</v>
      </c>
      <c r="O42" s="213"/>
      <c r="P42" s="214"/>
      <c r="Q42" s="187">
        <f t="shared" si="3"/>
        <v>1840</v>
      </c>
      <c r="R42" s="183">
        <f t="shared" si="4"/>
        <v>1840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25</v>
      </c>
      <c r="L43" s="251">
        <f>1245+770</f>
        <v>2015</v>
      </c>
      <c r="M43" s="252"/>
      <c r="N43" s="256">
        <f t="shared" si="2"/>
        <v>2040</v>
      </c>
      <c r="O43" s="213"/>
      <c r="P43" s="214"/>
      <c r="Q43" s="187">
        <f t="shared" si="3"/>
        <v>2040</v>
      </c>
      <c r="R43" s="183">
        <f t="shared" si="4"/>
        <v>2040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25</v>
      </c>
      <c r="L44" s="251">
        <f>1305+670</f>
        <v>1975</v>
      </c>
      <c r="M44" s="252"/>
      <c r="N44" s="256">
        <f t="shared" si="2"/>
        <v>2000</v>
      </c>
      <c r="O44" s="213"/>
      <c r="P44" s="214"/>
      <c r="Q44" s="187">
        <f t="shared" si="3"/>
        <v>2000</v>
      </c>
      <c r="R44" s="183">
        <f t="shared" si="4"/>
        <v>2000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25</v>
      </c>
      <c r="L45" s="251">
        <f>1425+470</f>
        <v>1895</v>
      </c>
      <c r="M45" s="252"/>
      <c r="N45" s="256">
        <f t="shared" si="2"/>
        <v>1920</v>
      </c>
      <c r="O45" s="213"/>
      <c r="P45" s="214"/>
      <c r="Q45" s="187">
        <f t="shared" si="3"/>
        <v>1920</v>
      </c>
      <c r="R45" s="183">
        <f t="shared" si="4"/>
        <v>1920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592</v>
      </c>
      <c r="L48" s="259">
        <f t="shared" si="5"/>
        <v>43303</v>
      </c>
      <c r="M48" s="260">
        <f t="shared" si="5"/>
        <v>0</v>
      </c>
      <c r="N48" s="258">
        <f>SUM(N16:N46)</f>
        <v>43895</v>
      </c>
      <c r="O48" s="195">
        <f t="shared" si="5"/>
        <v>0</v>
      </c>
      <c r="P48" s="195">
        <f t="shared" si="5"/>
        <v>0</v>
      </c>
      <c r="Q48" s="194">
        <f>SUM(Q16:Q46)</f>
        <v>43895</v>
      </c>
      <c r="R48" s="186">
        <f>SUM(R16:R46)</f>
        <v>43895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43895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8" zoomScale="66" zoomScaleNormal="66" workbookViewId="0">
      <pane xSplit="1" topLeftCell="B1" activePane="topRight" state="frozen"/>
      <selection activeCell="R13" sqref="R13"/>
      <selection pane="topRight" activeCell="P44" sqref="P4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207</v>
      </c>
      <c r="H15" s="161" t="s">
        <v>218</v>
      </c>
      <c r="I15" s="162" t="s">
        <v>211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>
        <v>118</v>
      </c>
      <c r="I16" s="212"/>
      <c r="J16" s="176">
        <f>+G16+H16+I16</f>
        <v>118</v>
      </c>
      <c r="K16" s="250">
        <v>15</v>
      </c>
      <c r="L16" s="251">
        <f>875+180+150+30+30+35+30+30+60</f>
        <v>1420</v>
      </c>
      <c r="M16" s="252"/>
      <c r="N16" s="256">
        <f>+K16+L16+M16</f>
        <v>1435</v>
      </c>
      <c r="O16" s="235"/>
      <c r="P16" s="234"/>
      <c r="Q16" s="187">
        <f>+P16+O16+N16</f>
        <v>1435</v>
      </c>
      <c r="R16" s="183">
        <f>+Q16+J16+F16</f>
        <v>1553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>
        <v>114</v>
      </c>
      <c r="I17" s="212"/>
      <c r="J17" s="176">
        <f t="shared" ref="J17:J46" si="1">+G17+H17+I17</f>
        <v>114</v>
      </c>
      <c r="K17" s="250">
        <v>15</v>
      </c>
      <c r="L17" s="251">
        <f>884+30+30+30+30+60+175+35+140</f>
        <v>1414</v>
      </c>
      <c r="M17" s="252"/>
      <c r="N17" s="256">
        <f t="shared" ref="N17:N46" si="2">+K17+L17+M17</f>
        <v>1429</v>
      </c>
      <c r="O17" s="235"/>
      <c r="P17" s="234"/>
      <c r="Q17" s="187">
        <f t="shared" ref="Q17:Q46" si="3">+P17+O17+N17</f>
        <v>1429</v>
      </c>
      <c r="R17" s="183">
        <f t="shared" ref="R17:R46" si="4">+Q17+J17+F17</f>
        <v>1543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10</v>
      </c>
      <c r="L18" s="251">
        <v>30</v>
      </c>
      <c r="M18" s="252"/>
      <c r="N18" s="256">
        <f t="shared" si="2"/>
        <v>40</v>
      </c>
      <c r="O18" s="235"/>
      <c r="P18" s="234"/>
      <c r="Q18" s="187">
        <f t="shared" si="3"/>
        <v>40</v>
      </c>
      <c r="R18" s="183">
        <f t="shared" si="4"/>
        <v>40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>
        <v>120</v>
      </c>
      <c r="I20" s="212"/>
      <c r="J20" s="176">
        <f t="shared" si="1"/>
        <v>120</v>
      </c>
      <c r="K20" s="250">
        <v>15</v>
      </c>
      <c r="L20" s="251">
        <f>860+190+140+60+30+30+30+35+30</f>
        <v>1405</v>
      </c>
      <c r="M20" s="252"/>
      <c r="N20" s="256">
        <f t="shared" si="2"/>
        <v>1420</v>
      </c>
      <c r="O20" s="235"/>
      <c r="P20" s="234"/>
      <c r="Q20" s="187">
        <f t="shared" si="3"/>
        <v>1420</v>
      </c>
      <c r="R20" s="183">
        <f t="shared" si="4"/>
        <v>1540</v>
      </c>
      <c r="S20" s="215"/>
      <c r="T20" s="215"/>
    </row>
    <row r="21" spans="2:20" ht="15" customHeight="1" thickBot="1" x14ac:dyDescent="0.35">
      <c r="B21" s="28">
        <v>6</v>
      </c>
      <c r="C21" s="216"/>
      <c r="D21" s="217"/>
      <c r="E21" s="218"/>
      <c r="F21" s="177">
        <f t="shared" si="0"/>
        <v>0</v>
      </c>
      <c r="G21" s="210"/>
      <c r="H21" s="211">
        <v>124</v>
      </c>
      <c r="I21" s="212"/>
      <c r="J21" s="176">
        <f t="shared" si="1"/>
        <v>124</v>
      </c>
      <c r="K21" s="250">
        <v>15</v>
      </c>
      <c r="L21" s="251">
        <f>875+160+100+60+150+30+30+35+30+30</f>
        <v>1500</v>
      </c>
      <c r="M21" s="252"/>
      <c r="N21" s="256">
        <f t="shared" si="2"/>
        <v>1515</v>
      </c>
      <c r="O21" s="235"/>
      <c r="P21" s="234"/>
      <c r="Q21" s="187">
        <f t="shared" si="3"/>
        <v>1515</v>
      </c>
      <c r="R21" s="183">
        <f t="shared" si="4"/>
        <v>1639</v>
      </c>
      <c r="S21" s="215"/>
      <c r="T21" s="215"/>
    </row>
    <row r="22" spans="2:20" ht="15" customHeight="1" thickBot="1" x14ac:dyDescent="0.35">
      <c r="B22" s="337">
        <v>7</v>
      </c>
      <c r="C22" s="216"/>
      <c r="D22" s="217"/>
      <c r="E22" s="218"/>
      <c r="F22" s="177">
        <f t="shared" si="0"/>
        <v>0</v>
      </c>
      <c r="G22" s="210"/>
      <c r="H22" s="211">
        <v>128</v>
      </c>
      <c r="I22" s="212"/>
      <c r="J22" s="176">
        <f t="shared" si="1"/>
        <v>128</v>
      </c>
      <c r="K22" s="250">
        <v>15</v>
      </c>
      <c r="L22" s="251">
        <f>874+180+30+30+30+60+30+35+130</f>
        <v>1399</v>
      </c>
      <c r="M22" s="252"/>
      <c r="N22" s="256">
        <f t="shared" si="2"/>
        <v>1414</v>
      </c>
      <c r="O22" s="235"/>
      <c r="P22" s="234"/>
      <c r="Q22" s="187">
        <f t="shared" si="3"/>
        <v>1414</v>
      </c>
      <c r="R22" s="183">
        <f t="shared" si="4"/>
        <v>1542</v>
      </c>
      <c r="S22" s="215"/>
      <c r="T22" s="215"/>
    </row>
    <row r="23" spans="2:20" ht="15" customHeight="1" thickBot="1" x14ac:dyDescent="0.35">
      <c r="B23" s="337">
        <v>8</v>
      </c>
      <c r="C23" s="216"/>
      <c r="D23" s="217"/>
      <c r="E23" s="218"/>
      <c r="F23" s="177">
        <f t="shared" si="0"/>
        <v>0</v>
      </c>
      <c r="G23" s="210"/>
      <c r="H23" s="211">
        <v>132</v>
      </c>
      <c r="I23" s="212"/>
      <c r="J23" s="176">
        <f t="shared" si="1"/>
        <v>132</v>
      </c>
      <c r="K23" s="250">
        <v>15</v>
      </c>
      <c r="L23" s="251">
        <f>880+130+190+30+35+30+60+30+30</f>
        <v>1415</v>
      </c>
      <c r="M23" s="252"/>
      <c r="N23" s="256">
        <f t="shared" si="2"/>
        <v>1430</v>
      </c>
      <c r="O23" s="235"/>
      <c r="P23" s="234"/>
      <c r="Q23" s="187">
        <f t="shared" si="3"/>
        <v>1430</v>
      </c>
      <c r="R23" s="183">
        <f t="shared" si="4"/>
        <v>1562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>
        <v>126</v>
      </c>
      <c r="I24" s="212"/>
      <c r="J24" s="176">
        <f t="shared" si="1"/>
        <v>126</v>
      </c>
      <c r="K24" s="250">
        <v>15</v>
      </c>
      <c r="L24" s="251">
        <f>885+30+30+30+190+60+35+140+30</f>
        <v>1430</v>
      </c>
      <c r="M24" s="252"/>
      <c r="N24" s="256">
        <f t="shared" si="2"/>
        <v>1445</v>
      </c>
      <c r="O24" s="235"/>
      <c r="P24" s="234"/>
      <c r="Q24" s="187">
        <f t="shared" si="3"/>
        <v>1445</v>
      </c>
      <c r="R24" s="183">
        <f t="shared" si="4"/>
        <v>1571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12</v>
      </c>
      <c r="L25" s="251">
        <f>150+30</f>
        <v>180</v>
      </c>
      <c r="M25" s="252"/>
      <c r="N25" s="256">
        <f t="shared" si="2"/>
        <v>192</v>
      </c>
      <c r="O25" s="235"/>
      <c r="P25" s="234"/>
      <c r="Q25" s="187">
        <f t="shared" si="3"/>
        <v>192</v>
      </c>
      <c r="R25" s="183">
        <f t="shared" si="4"/>
        <v>192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12</v>
      </c>
      <c r="L26" s="251">
        <f>200+100</f>
        <v>300</v>
      </c>
      <c r="M26" s="252"/>
      <c r="N26" s="256">
        <f t="shared" si="2"/>
        <v>312</v>
      </c>
      <c r="O26" s="235"/>
      <c r="P26" s="234"/>
      <c r="Q26" s="187">
        <f t="shared" si="3"/>
        <v>312</v>
      </c>
      <c r="R26" s="183">
        <f t="shared" si="4"/>
        <v>312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>
        <v>122</v>
      </c>
      <c r="I27" s="212"/>
      <c r="J27" s="176">
        <f t="shared" si="1"/>
        <v>122</v>
      </c>
      <c r="K27" s="250">
        <v>15</v>
      </c>
      <c r="L27" s="251">
        <f>860+30+30+30+30+35+180+125+60</f>
        <v>1380</v>
      </c>
      <c r="M27" s="252"/>
      <c r="N27" s="256">
        <f t="shared" si="2"/>
        <v>1395</v>
      </c>
      <c r="O27" s="235"/>
      <c r="P27" s="234"/>
      <c r="Q27" s="187">
        <f t="shared" si="3"/>
        <v>1395</v>
      </c>
      <c r="R27" s="183">
        <f t="shared" si="4"/>
        <v>1517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>
        <v>122</v>
      </c>
      <c r="I28" s="212"/>
      <c r="J28" s="176">
        <f t="shared" si="1"/>
        <v>122</v>
      </c>
      <c r="K28" s="250">
        <v>15</v>
      </c>
      <c r="L28" s="251">
        <f>875+30+30+30+30+60+195+35+140</f>
        <v>1425</v>
      </c>
      <c r="M28" s="252"/>
      <c r="N28" s="256">
        <f t="shared" si="2"/>
        <v>1440</v>
      </c>
      <c r="O28" s="235"/>
      <c r="P28" s="234"/>
      <c r="Q28" s="187">
        <f t="shared" si="3"/>
        <v>1440</v>
      </c>
      <c r="R28" s="183">
        <f t="shared" si="4"/>
        <v>1562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>
        <v>136</v>
      </c>
      <c r="I29" s="212"/>
      <c r="J29" s="176">
        <f t="shared" si="1"/>
        <v>136</v>
      </c>
      <c r="K29" s="250">
        <v>15</v>
      </c>
      <c r="L29" s="251">
        <f>870+30+30+30+30+180+125+50+30</f>
        <v>1375</v>
      </c>
      <c r="M29" s="252"/>
      <c r="N29" s="256">
        <f t="shared" si="2"/>
        <v>1390</v>
      </c>
      <c r="O29" s="235"/>
      <c r="P29" s="234"/>
      <c r="Q29" s="187">
        <f t="shared" si="3"/>
        <v>1390</v>
      </c>
      <c r="R29" s="183">
        <f t="shared" si="4"/>
        <v>1526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>
        <v>134</v>
      </c>
      <c r="I30" s="212"/>
      <c r="J30" s="176">
        <f t="shared" si="1"/>
        <v>134</v>
      </c>
      <c r="K30" s="250">
        <v>15</v>
      </c>
      <c r="L30" s="251">
        <f>870+60+30+30+30+30+35+140+180</f>
        <v>1405</v>
      </c>
      <c r="M30" s="252"/>
      <c r="N30" s="256">
        <f t="shared" si="2"/>
        <v>1420</v>
      </c>
      <c r="O30" s="235"/>
      <c r="P30" s="234"/>
      <c r="Q30" s="187">
        <f t="shared" si="3"/>
        <v>1420</v>
      </c>
      <c r="R30" s="183">
        <f t="shared" si="4"/>
        <v>1554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>
        <v>128</v>
      </c>
      <c r="I31" s="212"/>
      <c r="J31" s="176">
        <f t="shared" si="1"/>
        <v>128</v>
      </c>
      <c r="K31" s="250">
        <v>15</v>
      </c>
      <c r="L31" s="251">
        <f>890+60+30+30+190+30+35+30+70</f>
        <v>1365</v>
      </c>
      <c r="M31" s="252"/>
      <c r="N31" s="256">
        <f t="shared" si="2"/>
        <v>1380</v>
      </c>
      <c r="O31" s="235"/>
      <c r="P31" s="234"/>
      <c r="Q31" s="187">
        <f t="shared" si="3"/>
        <v>1380</v>
      </c>
      <c r="R31" s="183">
        <f t="shared" si="4"/>
        <v>1508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12</v>
      </c>
      <c r="L32" s="251">
        <f>30+40</f>
        <v>70</v>
      </c>
      <c r="M32" s="252"/>
      <c r="N32" s="256">
        <f t="shared" si="2"/>
        <v>82</v>
      </c>
      <c r="O32" s="235"/>
      <c r="P32" s="234"/>
      <c r="Q32" s="187">
        <f t="shared" si="3"/>
        <v>82</v>
      </c>
      <c r="R32" s="183">
        <f t="shared" si="4"/>
        <v>82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12</v>
      </c>
      <c r="L33" s="251">
        <v>40</v>
      </c>
      <c r="M33" s="252"/>
      <c r="N33" s="256">
        <f t="shared" si="2"/>
        <v>52</v>
      </c>
      <c r="O33" s="235"/>
      <c r="P33" s="234"/>
      <c r="Q33" s="187">
        <f t="shared" si="3"/>
        <v>52</v>
      </c>
      <c r="R33" s="183">
        <f t="shared" si="4"/>
        <v>52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15</v>
      </c>
      <c r="L34" s="251">
        <f>875+30+50+182+150+150+30+150+200+20+70</f>
        <v>1907</v>
      </c>
      <c r="M34" s="252"/>
      <c r="N34" s="256">
        <f t="shared" si="2"/>
        <v>1922</v>
      </c>
      <c r="O34" s="235"/>
      <c r="P34" s="234"/>
      <c r="Q34" s="187">
        <f t="shared" si="3"/>
        <v>1922</v>
      </c>
      <c r="R34" s="183">
        <f t="shared" si="4"/>
        <v>1922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15</v>
      </c>
      <c r="L35" s="251">
        <f>910+26+30+35+30+30+30+100+125+200+60</f>
        <v>1576</v>
      </c>
      <c r="M35" s="252"/>
      <c r="N35" s="256">
        <f t="shared" si="2"/>
        <v>1591</v>
      </c>
      <c r="O35" s="235"/>
      <c r="P35" s="234"/>
      <c r="Q35" s="187">
        <f t="shared" si="3"/>
        <v>1591</v>
      </c>
      <c r="R35" s="183">
        <f t="shared" si="4"/>
        <v>1591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>
        <v>104</v>
      </c>
      <c r="I36" s="212"/>
      <c r="J36" s="176">
        <f t="shared" si="1"/>
        <v>104</v>
      </c>
      <c r="K36" s="250">
        <v>20</v>
      </c>
      <c r="L36" s="251">
        <f>925+20+10+125+30+30+30+30+180+35+60+60+10</f>
        <v>1545</v>
      </c>
      <c r="M36" s="252"/>
      <c r="N36" s="256">
        <f t="shared" si="2"/>
        <v>1565</v>
      </c>
      <c r="O36" s="235"/>
      <c r="P36" s="234"/>
      <c r="Q36" s="187">
        <f t="shared" si="3"/>
        <v>1565</v>
      </c>
      <c r="R36" s="183">
        <f t="shared" si="4"/>
        <v>1669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>
        <v>122</v>
      </c>
      <c r="I37" s="212"/>
      <c r="J37" s="176">
        <f t="shared" si="1"/>
        <v>122</v>
      </c>
      <c r="K37" s="250">
        <v>24</v>
      </c>
      <c r="L37" s="251">
        <f>930+20+20+20+30+60+150+20+200+30</f>
        <v>1480</v>
      </c>
      <c r="M37" s="252"/>
      <c r="N37" s="256">
        <f t="shared" si="2"/>
        <v>1504</v>
      </c>
      <c r="O37" s="235"/>
      <c r="P37" s="234"/>
      <c r="Q37" s="187">
        <f t="shared" si="3"/>
        <v>1504</v>
      </c>
      <c r="R37" s="183">
        <f t="shared" si="4"/>
        <v>1626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>
        <v>104</v>
      </c>
      <c r="I38" s="212"/>
      <c r="J38" s="176">
        <f t="shared" si="1"/>
        <v>104</v>
      </c>
      <c r="K38" s="250">
        <v>25</v>
      </c>
      <c r="L38" s="251">
        <f>890+35+35+30+30+30+50+190+140+100</f>
        <v>1530</v>
      </c>
      <c r="M38" s="252"/>
      <c r="N38" s="256">
        <f t="shared" si="2"/>
        <v>1555</v>
      </c>
      <c r="O38" s="235"/>
      <c r="P38" s="234"/>
      <c r="Q38" s="187">
        <f t="shared" si="3"/>
        <v>1555</v>
      </c>
      <c r="R38" s="183">
        <f t="shared" si="4"/>
        <v>1659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12</v>
      </c>
      <c r="L39" s="251">
        <v>400</v>
      </c>
      <c r="M39" s="252"/>
      <c r="N39" s="256">
        <f t="shared" si="2"/>
        <v>412</v>
      </c>
      <c r="O39" s="235"/>
      <c r="P39" s="234"/>
      <c r="Q39" s="187">
        <f t="shared" si="3"/>
        <v>412</v>
      </c>
      <c r="R39" s="183">
        <f t="shared" si="4"/>
        <v>412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35"/>
      <c r="P40" s="23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>
        <v>152</v>
      </c>
      <c r="I41" s="212"/>
      <c r="J41" s="176">
        <f t="shared" si="1"/>
        <v>152</v>
      </c>
      <c r="K41" s="250">
        <v>25</v>
      </c>
      <c r="L41" s="251">
        <f>890+30+30+30+35+100+30+200+140+50+60</f>
        <v>1595</v>
      </c>
      <c r="M41" s="252"/>
      <c r="N41" s="256">
        <f t="shared" si="2"/>
        <v>1620</v>
      </c>
      <c r="O41" s="235"/>
      <c r="P41" s="234"/>
      <c r="Q41" s="187">
        <f t="shared" si="3"/>
        <v>1620</v>
      </c>
      <c r="R41" s="183">
        <f t="shared" si="4"/>
        <v>1772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>
        <v>140</v>
      </c>
      <c r="I42" s="212"/>
      <c r="J42" s="176">
        <f t="shared" si="1"/>
        <v>140</v>
      </c>
      <c r="K42" s="250">
        <v>25</v>
      </c>
      <c r="L42" s="251">
        <f>950+30+30+30+30+180+125+35+60+125</f>
        <v>1595</v>
      </c>
      <c r="M42" s="252"/>
      <c r="N42" s="256">
        <f t="shared" si="2"/>
        <v>1620</v>
      </c>
      <c r="O42" s="235"/>
      <c r="P42" s="234"/>
      <c r="Q42" s="187">
        <f t="shared" si="3"/>
        <v>1620</v>
      </c>
      <c r="R42" s="183">
        <f t="shared" si="4"/>
        <v>1760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>
        <v>142</v>
      </c>
      <c r="I43" s="212"/>
      <c r="J43" s="176">
        <f t="shared" si="1"/>
        <v>142</v>
      </c>
      <c r="K43" s="250">
        <v>25</v>
      </c>
      <c r="L43" s="251">
        <f>970+30+30+30+190+135+35+120+30+50</f>
        <v>1620</v>
      </c>
      <c r="M43" s="252"/>
      <c r="N43" s="256">
        <f t="shared" si="2"/>
        <v>1645</v>
      </c>
      <c r="O43" s="235"/>
      <c r="P43" s="234"/>
      <c r="Q43" s="187">
        <f t="shared" si="3"/>
        <v>1645</v>
      </c>
      <c r="R43" s="183">
        <f t="shared" si="4"/>
        <v>1787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>
        <v>142</v>
      </c>
      <c r="I44" s="212"/>
      <c r="J44" s="176">
        <f t="shared" si="1"/>
        <v>142</v>
      </c>
      <c r="K44" s="250">
        <v>25</v>
      </c>
      <c r="L44" s="251">
        <f>970+30+30+30+35+30+195+120+140+20</f>
        <v>1600</v>
      </c>
      <c r="M44" s="252"/>
      <c r="N44" s="256">
        <f t="shared" si="2"/>
        <v>1625</v>
      </c>
      <c r="O44" s="235"/>
      <c r="P44" s="234"/>
      <c r="Q44" s="187">
        <f t="shared" si="3"/>
        <v>1625</v>
      </c>
      <c r="R44" s="183">
        <f t="shared" si="4"/>
        <v>1767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>
        <v>142</v>
      </c>
      <c r="I45" s="212"/>
      <c r="J45" s="176">
        <f t="shared" si="1"/>
        <v>142</v>
      </c>
      <c r="K45" s="250">
        <v>25</v>
      </c>
      <c r="L45" s="251">
        <f>995+30+30+30+35+60+175+130+125+30</f>
        <v>1640</v>
      </c>
      <c r="M45" s="252"/>
      <c r="N45" s="256">
        <f t="shared" si="2"/>
        <v>1665</v>
      </c>
      <c r="O45" s="235"/>
      <c r="P45" s="234"/>
      <c r="Q45" s="187">
        <f t="shared" si="3"/>
        <v>1665</v>
      </c>
      <c r="R45" s="183">
        <f t="shared" si="4"/>
        <v>1807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2552</v>
      </c>
      <c r="I48" s="182">
        <f t="shared" si="5"/>
        <v>0</v>
      </c>
      <c r="J48" s="175">
        <f>SUM(J16:J46)</f>
        <v>2552</v>
      </c>
      <c r="K48" s="261">
        <f t="shared" si="5"/>
        <v>474</v>
      </c>
      <c r="L48" s="259">
        <f t="shared" si="5"/>
        <v>34041</v>
      </c>
      <c r="M48" s="260">
        <f t="shared" si="5"/>
        <v>0</v>
      </c>
      <c r="N48" s="258">
        <f>SUM(N16:N46)</f>
        <v>34515</v>
      </c>
      <c r="O48" s="195">
        <f t="shared" si="5"/>
        <v>0</v>
      </c>
      <c r="P48" s="195">
        <f t="shared" si="5"/>
        <v>0</v>
      </c>
      <c r="Q48" s="194">
        <f>SUM(Q16:Q46)</f>
        <v>34515</v>
      </c>
      <c r="R48" s="185">
        <f>SUM(R16:R46)</f>
        <v>37067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37067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K14:Q14"/>
    <mergeCell ref="A7:Q7"/>
    <mergeCell ref="A8:Q8"/>
    <mergeCell ref="A9:Q9"/>
    <mergeCell ref="D12:K12"/>
    <mergeCell ref="D14:F1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3" zoomScale="70" zoomScaleNormal="70" workbookViewId="0">
      <pane xSplit="1" topLeftCell="B1" activePane="topRight" state="frozen"/>
      <selection activeCell="R13" sqref="R13"/>
      <selection pane="topRight" activeCell="M44" sqref="M4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72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>
        <v>2002</v>
      </c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224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30</v>
      </c>
      <c r="L16" s="251">
        <f>25+100+50+50+25+50+35+10+515</f>
        <v>860</v>
      </c>
      <c r="M16" s="252"/>
      <c r="N16" s="256">
        <f>+K16+L16+M16</f>
        <v>890</v>
      </c>
      <c r="O16" s="235"/>
      <c r="P16" s="234"/>
      <c r="Q16" s="187">
        <f>+P16+O16+N16</f>
        <v>890</v>
      </c>
      <c r="R16" s="183">
        <f>+Q16+J16+F16</f>
        <v>890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30</v>
      </c>
      <c r="L17" s="251">
        <f>100+50+50+10+50+25+25+630</f>
        <v>940</v>
      </c>
      <c r="M17" s="252"/>
      <c r="N17" s="256">
        <f t="shared" ref="N17:N46" si="2">+K17+L17+M17</f>
        <v>970</v>
      </c>
      <c r="O17" s="213"/>
      <c r="P17" s="214"/>
      <c r="Q17" s="187">
        <f t="shared" ref="Q17:Q46" si="3">+P17+O17+N17</f>
        <v>970</v>
      </c>
      <c r="R17" s="183">
        <f t="shared" ref="R17:R46" si="4">+Q17+J17+F17</f>
        <v>970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>
        <v>500</v>
      </c>
      <c r="M18" s="252"/>
      <c r="N18" s="256">
        <f t="shared" si="2"/>
        <v>500</v>
      </c>
      <c r="O18" s="213"/>
      <c r="P18" s="214"/>
      <c r="Q18" s="187">
        <f t="shared" si="3"/>
        <v>500</v>
      </c>
      <c r="R18" s="183">
        <f t="shared" si="4"/>
        <v>500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30</v>
      </c>
      <c r="L20" s="251">
        <f>100+50+50+10+50+25+565</f>
        <v>850</v>
      </c>
      <c r="M20" s="252"/>
      <c r="N20" s="256">
        <f t="shared" si="2"/>
        <v>880</v>
      </c>
      <c r="O20" s="213"/>
      <c r="P20" s="214"/>
      <c r="Q20" s="187">
        <f t="shared" si="3"/>
        <v>880</v>
      </c>
      <c r="R20" s="183">
        <f t="shared" si="4"/>
        <v>880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30</v>
      </c>
      <c r="L21" s="251">
        <f>100+50+50+50+25+10+585</f>
        <v>870</v>
      </c>
      <c r="M21" s="252"/>
      <c r="N21" s="256">
        <f t="shared" si="2"/>
        <v>900</v>
      </c>
      <c r="O21" s="213"/>
      <c r="P21" s="214"/>
      <c r="Q21" s="187">
        <f t="shared" si="3"/>
        <v>900</v>
      </c>
      <c r="R21" s="183">
        <f t="shared" si="4"/>
        <v>900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30</v>
      </c>
      <c r="L22" s="251">
        <f>100+50+50+50+10+25+570</f>
        <v>855</v>
      </c>
      <c r="M22" s="252"/>
      <c r="N22" s="256">
        <f t="shared" si="2"/>
        <v>885</v>
      </c>
      <c r="O22" s="213"/>
      <c r="P22" s="214"/>
      <c r="Q22" s="187">
        <f t="shared" si="3"/>
        <v>885</v>
      </c>
      <c r="R22" s="183">
        <f t="shared" si="4"/>
        <v>885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30</v>
      </c>
      <c r="L23" s="251">
        <f>100+50+50+50+10+25+580</f>
        <v>865</v>
      </c>
      <c r="M23" s="252"/>
      <c r="N23" s="256">
        <f t="shared" si="2"/>
        <v>895</v>
      </c>
      <c r="O23" s="213"/>
      <c r="P23" s="214"/>
      <c r="Q23" s="187">
        <f t="shared" si="3"/>
        <v>895</v>
      </c>
      <c r="R23" s="183">
        <f t="shared" si="4"/>
        <v>895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30</v>
      </c>
      <c r="L24" s="251">
        <f>100+50+50+50+10+10+670</f>
        <v>940</v>
      </c>
      <c r="M24" s="252"/>
      <c r="N24" s="256">
        <f t="shared" si="2"/>
        <v>970</v>
      </c>
      <c r="O24" s="213"/>
      <c r="P24" s="214"/>
      <c r="Q24" s="187">
        <f t="shared" si="3"/>
        <v>970</v>
      </c>
      <c r="R24" s="183">
        <f t="shared" si="4"/>
        <v>970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30</v>
      </c>
      <c r="L27" s="251">
        <f>100+50+50+50+25+10+574</f>
        <v>859</v>
      </c>
      <c r="M27" s="252"/>
      <c r="N27" s="256">
        <f t="shared" si="2"/>
        <v>889</v>
      </c>
      <c r="O27" s="213"/>
      <c r="P27" s="214"/>
      <c r="Q27" s="187">
        <f t="shared" si="3"/>
        <v>889</v>
      </c>
      <c r="R27" s="183">
        <f t="shared" si="4"/>
        <v>889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30</v>
      </c>
      <c r="L28" s="251">
        <f>100+50+50+50+25+10+600</f>
        <v>885</v>
      </c>
      <c r="M28" s="252"/>
      <c r="N28" s="256">
        <f t="shared" si="2"/>
        <v>915</v>
      </c>
      <c r="O28" s="213"/>
      <c r="P28" s="214"/>
      <c r="Q28" s="187">
        <f t="shared" si="3"/>
        <v>915</v>
      </c>
      <c r="R28" s="183">
        <f t="shared" si="4"/>
        <v>915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30</v>
      </c>
      <c r="L29" s="251">
        <f>100+50+50+50+25+10+574</f>
        <v>859</v>
      </c>
      <c r="M29" s="252"/>
      <c r="N29" s="256">
        <f t="shared" si="2"/>
        <v>889</v>
      </c>
      <c r="O29" s="213"/>
      <c r="P29" s="214"/>
      <c r="Q29" s="187">
        <f t="shared" si="3"/>
        <v>889</v>
      </c>
      <c r="R29" s="183">
        <f t="shared" si="4"/>
        <v>889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30</v>
      </c>
      <c r="L30" s="251">
        <f>100+50+50+50+50+25+10+518</f>
        <v>853</v>
      </c>
      <c r="M30" s="252"/>
      <c r="N30" s="256">
        <f t="shared" si="2"/>
        <v>883</v>
      </c>
      <c r="O30" s="213"/>
      <c r="P30" s="214"/>
      <c r="Q30" s="187">
        <f t="shared" si="3"/>
        <v>883</v>
      </c>
      <c r="R30" s="183">
        <f t="shared" si="4"/>
        <v>883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30</v>
      </c>
      <c r="L31" s="251">
        <f>100+50+50+200+50+10+25+585</f>
        <v>1070</v>
      </c>
      <c r="M31" s="252"/>
      <c r="N31" s="256">
        <f t="shared" si="2"/>
        <v>1100</v>
      </c>
      <c r="O31" s="213"/>
      <c r="P31" s="214"/>
      <c r="Q31" s="187">
        <f t="shared" si="3"/>
        <v>1100</v>
      </c>
      <c r="R31" s="183">
        <f t="shared" si="4"/>
        <v>1100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10</v>
      </c>
      <c r="L32" s="251">
        <v>200</v>
      </c>
      <c r="M32" s="252"/>
      <c r="N32" s="256">
        <f t="shared" si="2"/>
        <v>210</v>
      </c>
      <c r="O32" s="213"/>
      <c r="P32" s="214"/>
      <c r="Q32" s="187">
        <f t="shared" si="3"/>
        <v>210</v>
      </c>
      <c r="R32" s="183">
        <f t="shared" si="4"/>
        <v>210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10</v>
      </c>
      <c r="L33" s="251">
        <f>25+25+200</f>
        <v>250</v>
      </c>
      <c r="M33" s="252"/>
      <c r="N33" s="256">
        <f t="shared" si="2"/>
        <v>260</v>
      </c>
      <c r="O33" s="213"/>
      <c r="P33" s="214"/>
      <c r="Q33" s="187">
        <f t="shared" si="3"/>
        <v>260</v>
      </c>
      <c r="R33" s="183">
        <f t="shared" si="4"/>
        <v>260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>
        <f>68+203+54+135+100+675+60+540</f>
        <v>1835</v>
      </c>
      <c r="M34" s="252"/>
      <c r="N34" s="256">
        <f t="shared" si="2"/>
        <v>1835</v>
      </c>
      <c r="O34" s="213"/>
      <c r="P34" s="214"/>
      <c r="Q34" s="187">
        <f t="shared" si="3"/>
        <v>1835</v>
      </c>
      <c r="R34" s="183">
        <f t="shared" si="4"/>
        <v>1835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30</v>
      </c>
      <c r="L35" s="251">
        <f>300+135+47+20+15+15+50+940+405</f>
        <v>1927</v>
      </c>
      <c r="M35" s="252"/>
      <c r="N35" s="256">
        <f t="shared" si="2"/>
        <v>1957</v>
      </c>
      <c r="O35" s="213"/>
      <c r="P35" s="214"/>
      <c r="Q35" s="187">
        <f t="shared" si="3"/>
        <v>1957</v>
      </c>
      <c r="R35" s="183">
        <f t="shared" si="4"/>
        <v>1957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30</v>
      </c>
      <c r="L36" s="251">
        <f>16+100+100+50+30+15+20+30+598+135+41</f>
        <v>1135</v>
      </c>
      <c r="M36" s="252"/>
      <c r="N36" s="256">
        <f t="shared" si="2"/>
        <v>1165</v>
      </c>
      <c r="O36" s="213"/>
      <c r="P36" s="214"/>
      <c r="Q36" s="187">
        <f t="shared" si="3"/>
        <v>1165</v>
      </c>
      <c r="R36" s="183">
        <f t="shared" si="4"/>
        <v>1165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30</v>
      </c>
      <c r="L37" s="251">
        <f>100+50+26+20+20+15+844</f>
        <v>1075</v>
      </c>
      <c r="M37" s="252"/>
      <c r="N37" s="256">
        <f t="shared" si="2"/>
        <v>1105</v>
      </c>
      <c r="O37" s="213"/>
      <c r="P37" s="214"/>
      <c r="Q37" s="187">
        <f t="shared" si="3"/>
        <v>1105</v>
      </c>
      <c r="R37" s="183">
        <f t="shared" si="4"/>
        <v>1105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30</v>
      </c>
      <c r="L38" s="251">
        <f>26+10+150+50+30+808+270</f>
        <v>1344</v>
      </c>
      <c r="M38" s="252"/>
      <c r="N38" s="256">
        <f t="shared" si="2"/>
        <v>1374</v>
      </c>
      <c r="O38" s="213"/>
      <c r="P38" s="214"/>
      <c r="Q38" s="187">
        <f t="shared" si="3"/>
        <v>1374</v>
      </c>
      <c r="R38" s="183">
        <f t="shared" si="4"/>
        <v>1374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8</v>
      </c>
      <c r="L39" s="251">
        <v>675</v>
      </c>
      <c r="M39" s="252"/>
      <c r="N39" s="256">
        <f t="shared" si="2"/>
        <v>683</v>
      </c>
      <c r="O39" s="213"/>
      <c r="P39" s="214"/>
      <c r="Q39" s="187">
        <f t="shared" si="3"/>
        <v>683</v>
      </c>
      <c r="R39" s="183">
        <f t="shared" si="4"/>
        <v>683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15</v>
      </c>
      <c r="L40" s="251">
        <v>1485</v>
      </c>
      <c r="M40" s="252"/>
      <c r="N40" s="256">
        <f t="shared" si="2"/>
        <v>1500</v>
      </c>
      <c r="O40" s="213"/>
      <c r="P40" s="214"/>
      <c r="Q40" s="187">
        <f t="shared" si="3"/>
        <v>1500</v>
      </c>
      <c r="R40" s="183">
        <f t="shared" si="4"/>
        <v>1500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30</v>
      </c>
      <c r="L41" s="251">
        <f>100+50+50+651+50+33+26+14+45</f>
        <v>1019</v>
      </c>
      <c r="M41" s="252"/>
      <c r="N41" s="256">
        <f t="shared" si="2"/>
        <v>1049</v>
      </c>
      <c r="O41" s="213"/>
      <c r="P41" s="214"/>
      <c r="Q41" s="187">
        <f t="shared" si="3"/>
        <v>1049</v>
      </c>
      <c r="R41" s="183">
        <f t="shared" si="4"/>
        <v>1049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30</v>
      </c>
      <c r="L42" s="251">
        <f>100+50+50+26+50+14+30+557</f>
        <v>877</v>
      </c>
      <c r="M42" s="252"/>
      <c r="N42" s="256">
        <f t="shared" si="2"/>
        <v>907</v>
      </c>
      <c r="O42" s="213"/>
      <c r="P42" s="214"/>
      <c r="Q42" s="187">
        <f t="shared" si="3"/>
        <v>907</v>
      </c>
      <c r="R42" s="183">
        <f t="shared" si="4"/>
        <v>907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30</v>
      </c>
      <c r="L43" s="251">
        <f>100+50+50+15+50+14+26+549</f>
        <v>854</v>
      </c>
      <c r="M43" s="252"/>
      <c r="N43" s="256">
        <f t="shared" si="2"/>
        <v>884</v>
      </c>
      <c r="O43" s="213"/>
      <c r="P43" s="214"/>
      <c r="Q43" s="187">
        <f t="shared" si="3"/>
        <v>884</v>
      </c>
      <c r="R43" s="183">
        <f t="shared" si="4"/>
        <v>884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30</v>
      </c>
      <c r="L44" s="251">
        <f>100+50+50+14+50+26+15+671</f>
        <v>976</v>
      </c>
      <c r="M44" s="252"/>
      <c r="N44" s="256">
        <f t="shared" si="2"/>
        <v>1006</v>
      </c>
      <c r="O44" s="213"/>
      <c r="P44" s="214"/>
      <c r="Q44" s="187">
        <f t="shared" si="3"/>
        <v>1006</v>
      </c>
      <c r="R44" s="183">
        <f t="shared" si="4"/>
        <v>1006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30</v>
      </c>
      <c r="L45" s="251">
        <f>100+50+50+50+26+807</f>
        <v>1083</v>
      </c>
      <c r="M45" s="252"/>
      <c r="N45" s="256">
        <f t="shared" si="2"/>
        <v>1113</v>
      </c>
      <c r="O45" s="213"/>
      <c r="P45" s="214"/>
      <c r="Q45" s="187">
        <f t="shared" si="3"/>
        <v>1113</v>
      </c>
      <c r="R45" s="183">
        <f t="shared" si="4"/>
        <v>1113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673</v>
      </c>
      <c r="L48" s="259">
        <f t="shared" si="5"/>
        <v>25941</v>
      </c>
      <c r="M48" s="260">
        <f t="shared" si="5"/>
        <v>0</v>
      </c>
      <c r="N48" s="258">
        <f>SUM(N16:N46)</f>
        <v>26614</v>
      </c>
      <c r="O48" s="195">
        <f t="shared" si="5"/>
        <v>0</v>
      </c>
      <c r="P48" s="195">
        <f t="shared" si="5"/>
        <v>0</v>
      </c>
      <c r="Q48" s="194">
        <f>SUM(Q16:Q46)</f>
        <v>26614</v>
      </c>
      <c r="R48" s="185">
        <f>SUM(R16:R46)</f>
        <v>26614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26614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0" zoomScale="72" zoomScaleNormal="72" workbookViewId="0">
      <pane xSplit="1" topLeftCell="B1" activePane="topRight" state="frozen"/>
      <selection activeCell="R13" sqref="R13"/>
      <selection pane="topRight" activeCell="M34" sqref="M3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27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20</v>
      </c>
      <c r="L16" s="251">
        <f>150+24+20+1004+13</f>
        <v>1211</v>
      </c>
      <c r="M16" s="252"/>
      <c r="N16" s="256">
        <f>+K16+L16+M16</f>
        <v>1231</v>
      </c>
      <c r="O16" s="235"/>
      <c r="P16" s="234"/>
      <c r="Q16" s="187">
        <f>+P16+O16+N16</f>
        <v>1231</v>
      </c>
      <c r="R16" s="183">
        <f>+Q16+J16+F16</f>
        <v>1231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20</v>
      </c>
      <c r="L17" s="251">
        <f>150+24+13+863+20+50</f>
        <v>1120</v>
      </c>
      <c r="M17" s="252"/>
      <c r="N17" s="256">
        <f t="shared" ref="N17:N46" si="2">+K17+L17+M17</f>
        <v>1140</v>
      </c>
      <c r="O17" s="213"/>
      <c r="P17" s="214"/>
      <c r="Q17" s="187">
        <f t="shared" ref="Q17:Q46" si="3">+P17+O17+N17</f>
        <v>1140</v>
      </c>
      <c r="R17" s="183">
        <f t="shared" ref="R17:R46" si="4">+Q17+J17+F17</f>
        <v>1140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20</v>
      </c>
      <c r="L20" s="251">
        <f>150+24+936+20+13+40</f>
        <v>1183</v>
      </c>
      <c r="M20" s="252"/>
      <c r="N20" s="256">
        <f t="shared" si="2"/>
        <v>1203</v>
      </c>
      <c r="O20" s="213"/>
      <c r="P20" s="214"/>
      <c r="Q20" s="187">
        <f t="shared" si="3"/>
        <v>1203</v>
      </c>
      <c r="R20" s="183">
        <f t="shared" si="4"/>
        <v>1203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20</v>
      </c>
      <c r="L21" s="251">
        <f>150+24+20+953+13</f>
        <v>1160</v>
      </c>
      <c r="M21" s="252"/>
      <c r="N21" s="256">
        <f t="shared" si="2"/>
        <v>1180</v>
      </c>
      <c r="O21" s="213"/>
      <c r="P21" s="214"/>
      <c r="Q21" s="187">
        <f t="shared" si="3"/>
        <v>1180</v>
      </c>
      <c r="R21" s="183">
        <f t="shared" si="4"/>
        <v>1180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20</v>
      </c>
      <c r="L22" s="251">
        <f>150+24+826+13+20</f>
        <v>1033</v>
      </c>
      <c r="M22" s="252"/>
      <c r="N22" s="256">
        <f t="shared" si="2"/>
        <v>1053</v>
      </c>
      <c r="O22" s="213"/>
      <c r="P22" s="214"/>
      <c r="Q22" s="187">
        <f t="shared" si="3"/>
        <v>1053</v>
      </c>
      <c r="R22" s="183">
        <f t="shared" si="4"/>
        <v>1053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20</v>
      </c>
      <c r="L23" s="251">
        <f>150+24+806+20+13</f>
        <v>1013</v>
      </c>
      <c r="M23" s="252"/>
      <c r="N23" s="256">
        <f t="shared" si="2"/>
        <v>1033</v>
      </c>
      <c r="O23" s="213"/>
      <c r="P23" s="214"/>
      <c r="Q23" s="187">
        <f t="shared" si="3"/>
        <v>1033</v>
      </c>
      <c r="R23" s="183">
        <f t="shared" si="4"/>
        <v>1033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20</v>
      </c>
      <c r="L24" s="251">
        <f>150+24+863+13+20</f>
        <v>1070</v>
      </c>
      <c r="M24" s="252"/>
      <c r="N24" s="256">
        <f t="shared" si="2"/>
        <v>1090</v>
      </c>
      <c r="O24" s="213"/>
      <c r="P24" s="214"/>
      <c r="Q24" s="187">
        <f t="shared" si="3"/>
        <v>1090</v>
      </c>
      <c r="R24" s="183">
        <f t="shared" si="4"/>
        <v>1090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20</v>
      </c>
      <c r="L27" s="251">
        <f>150+24+20+655+13</f>
        <v>862</v>
      </c>
      <c r="M27" s="252"/>
      <c r="N27" s="256">
        <f t="shared" si="2"/>
        <v>882</v>
      </c>
      <c r="O27" s="213"/>
      <c r="P27" s="214"/>
      <c r="Q27" s="187">
        <f t="shared" si="3"/>
        <v>882</v>
      </c>
      <c r="R27" s="183">
        <f t="shared" si="4"/>
        <v>882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20</v>
      </c>
      <c r="L28" s="251">
        <f>150+24+20+1015+13</f>
        <v>1222</v>
      </c>
      <c r="M28" s="252"/>
      <c r="N28" s="256">
        <f t="shared" si="2"/>
        <v>1242</v>
      </c>
      <c r="O28" s="213"/>
      <c r="P28" s="214"/>
      <c r="Q28" s="187">
        <f t="shared" si="3"/>
        <v>1242</v>
      </c>
      <c r="R28" s="183">
        <f t="shared" si="4"/>
        <v>1242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20</v>
      </c>
      <c r="L29" s="251">
        <f>150+24+20+809+13</f>
        <v>1016</v>
      </c>
      <c r="M29" s="252"/>
      <c r="N29" s="256">
        <f t="shared" si="2"/>
        <v>1036</v>
      </c>
      <c r="O29" s="213"/>
      <c r="P29" s="214"/>
      <c r="Q29" s="187">
        <f t="shared" si="3"/>
        <v>1036</v>
      </c>
      <c r="R29" s="183">
        <f t="shared" si="4"/>
        <v>1036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20</v>
      </c>
      <c r="L30" s="251">
        <f>150+24+20+13+1088</f>
        <v>1295</v>
      </c>
      <c r="M30" s="252"/>
      <c r="N30" s="256">
        <f t="shared" si="2"/>
        <v>1315</v>
      </c>
      <c r="O30" s="213"/>
      <c r="P30" s="214"/>
      <c r="Q30" s="187">
        <f t="shared" si="3"/>
        <v>1315</v>
      </c>
      <c r="R30" s="183">
        <f t="shared" si="4"/>
        <v>1315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20</v>
      </c>
      <c r="L31" s="251">
        <f>150+24+20+13+907</f>
        <v>1114</v>
      </c>
      <c r="M31" s="252"/>
      <c r="N31" s="256">
        <f t="shared" si="2"/>
        <v>1134</v>
      </c>
      <c r="O31" s="213"/>
      <c r="P31" s="214"/>
      <c r="Q31" s="187">
        <f t="shared" si="3"/>
        <v>1134</v>
      </c>
      <c r="R31" s="183">
        <f t="shared" si="4"/>
        <v>1134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20</v>
      </c>
      <c r="L34" s="251">
        <f>390+260+819+31+26+100</f>
        <v>1626</v>
      </c>
      <c r="M34" s="252"/>
      <c r="N34" s="256">
        <f t="shared" si="2"/>
        <v>1646</v>
      </c>
      <c r="O34" s="213"/>
      <c r="P34" s="214"/>
      <c r="Q34" s="187">
        <f t="shared" si="3"/>
        <v>1646</v>
      </c>
      <c r="R34" s="183">
        <f t="shared" si="4"/>
        <v>1646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20</v>
      </c>
      <c r="L35" s="251">
        <f>150+24+813+20+13</f>
        <v>1020</v>
      </c>
      <c r="M35" s="252"/>
      <c r="N35" s="256">
        <f t="shared" si="2"/>
        <v>1040</v>
      </c>
      <c r="O35" s="213"/>
      <c r="P35" s="214"/>
      <c r="Q35" s="187">
        <f t="shared" si="3"/>
        <v>1040</v>
      </c>
      <c r="R35" s="183">
        <f t="shared" si="4"/>
        <v>1040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20</v>
      </c>
      <c r="L36" s="251">
        <f>150+24+20+1121+13+30</f>
        <v>1358</v>
      </c>
      <c r="M36" s="252"/>
      <c r="N36" s="256">
        <f t="shared" si="2"/>
        <v>1378</v>
      </c>
      <c r="O36" s="213"/>
      <c r="P36" s="214"/>
      <c r="Q36" s="187">
        <f t="shared" si="3"/>
        <v>1378</v>
      </c>
      <c r="R36" s="183">
        <f t="shared" si="4"/>
        <v>1378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20</v>
      </c>
      <c r="L37" s="251">
        <f>150+24+981+20+13</f>
        <v>1188</v>
      </c>
      <c r="M37" s="252"/>
      <c r="N37" s="256">
        <f t="shared" si="2"/>
        <v>1208</v>
      </c>
      <c r="O37" s="213"/>
      <c r="P37" s="214"/>
      <c r="Q37" s="187">
        <f t="shared" si="3"/>
        <v>1208</v>
      </c>
      <c r="R37" s="183">
        <f t="shared" si="4"/>
        <v>1208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20</v>
      </c>
      <c r="L38" s="251">
        <f>150+24+1144+20+13</f>
        <v>1351</v>
      </c>
      <c r="M38" s="252"/>
      <c r="N38" s="256">
        <f t="shared" si="2"/>
        <v>1371</v>
      </c>
      <c r="O38" s="213"/>
      <c r="P38" s="214"/>
      <c r="Q38" s="187">
        <f t="shared" si="3"/>
        <v>1371</v>
      </c>
      <c r="R38" s="183">
        <f t="shared" si="4"/>
        <v>1371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20</v>
      </c>
      <c r="L41" s="251">
        <f>150+24+20+865+13</f>
        <v>1072</v>
      </c>
      <c r="M41" s="252"/>
      <c r="N41" s="256">
        <f t="shared" si="2"/>
        <v>1092</v>
      </c>
      <c r="O41" s="213"/>
      <c r="P41" s="214"/>
      <c r="Q41" s="187">
        <f t="shared" si="3"/>
        <v>1092</v>
      </c>
      <c r="R41" s="183">
        <f t="shared" si="4"/>
        <v>1092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20</v>
      </c>
      <c r="L42" s="251">
        <f>150+24+20+1179+13</f>
        <v>1386</v>
      </c>
      <c r="M42" s="252"/>
      <c r="N42" s="256">
        <f t="shared" si="2"/>
        <v>1406</v>
      </c>
      <c r="O42" s="213"/>
      <c r="P42" s="214"/>
      <c r="Q42" s="187">
        <f t="shared" si="3"/>
        <v>1406</v>
      </c>
      <c r="R42" s="183">
        <f t="shared" si="4"/>
        <v>1406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20</v>
      </c>
      <c r="L43" s="251">
        <f>200+24+20+986+13</f>
        <v>1243</v>
      </c>
      <c r="M43" s="252"/>
      <c r="N43" s="256">
        <f t="shared" si="2"/>
        <v>1263</v>
      </c>
      <c r="O43" s="213"/>
      <c r="P43" s="214"/>
      <c r="Q43" s="187">
        <f t="shared" si="3"/>
        <v>1263</v>
      </c>
      <c r="R43" s="183">
        <f t="shared" si="4"/>
        <v>1263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20</v>
      </c>
      <c r="L44" s="251">
        <f>150+24+20+1346+13</f>
        <v>1553</v>
      </c>
      <c r="M44" s="252"/>
      <c r="N44" s="256">
        <f t="shared" si="2"/>
        <v>1573</v>
      </c>
      <c r="O44" s="213"/>
      <c r="P44" s="214"/>
      <c r="Q44" s="187">
        <f t="shared" si="3"/>
        <v>1573</v>
      </c>
      <c r="R44" s="183">
        <f t="shared" si="4"/>
        <v>1573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20</v>
      </c>
      <c r="L45" s="251">
        <f>150+24+20+1101+13</f>
        <v>1308</v>
      </c>
      <c r="M45" s="252"/>
      <c r="N45" s="256">
        <f t="shared" si="2"/>
        <v>1328</v>
      </c>
      <c r="O45" s="213"/>
      <c r="P45" s="214"/>
      <c r="Q45" s="187">
        <f t="shared" si="3"/>
        <v>1328</v>
      </c>
      <c r="R45" s="183">
        <f t="shared" si="4"/>
        <v>1328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440</v>
      </c>
      <c r="L48" s="259">
        <f t="shared" si="5"/>
        <v>26404</v>
      </c>
      <c r="M48" s="260">
        <f t="shared" si="5"/>
        <v>0</v>
      </c>
      <c r="N48" s="258">
        <f>SUM(N16:N46)</f>
        <v>26844</v>
      </c>
      <c r="O48" s="195">
        <f t="shared" si="5"/>
        <v>0</v>
      </c>
      <c r="P48" s="195">
        <f t="shared" si="5"/>
        <v>0</v>
      </c>
      <c r="Q48" s="194">
        <f>SUM(Q16:Q46)</f>
        <v>26844</v>
      </c>
      <c r="R48" s="185">
        <f>SUM(R16:R46)</f>
        <v>26844</v>
      </c>
      <c r="S48" s="2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26844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A7:Q7"/>
    <mergeCell ref="A8:Q8"/>
    <mergeCell ref="A9:Q9"/>
    <mergeCell ref="D12:K12"/>
    <mergeCell ref="K14:Q14"/>
    <mergeCell ref="D14:F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showGridLines="0" topLeftCell="A33" zoomScale="66" zoomScaleNormal="66" workbookViewId="0">
      <pane xSplit="1" topLeftCell="B1" activePane="topRight" state="frozen"/>
      <selection activeCell="N54" sqref="N54"/>
      <selection pane="topRight" activeCell="M45" sqref="M4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7" width="11.44140625" style="89"/>
    <col min="18" max="18" width="12.6640625" style="89" customWidth="1"/>
    <col min="19" max="20" width="11.44140625" style="89"/>
    <col min="21" max="21" width="11.44140625" style="69"/>
    <col min="22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11</v>
      </c>
      <c r="E12" s="524"/>
      <c r="F12" s="524"/>
      <c r="G12" s="524"/>
      <c r="H12" s="524"/>
      <c r="I12" s="524"/>
      <c r="J12" s="524"/>
      <c r="K12" s="524"/>
      <c r="L12" s="50"/>
      <c r="M12" s="327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v>6</v>
      </c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210</v>
      </c>
      <c r="H15" s="161" t="s">
        <v>207</v>
      </c>
      <c r="I15" s="162" t="s">
        <v>240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>
        <v>150</v>
      </c>
      <c r="H16" s="211"/>
      <c r="I16" s="212"/>
      <c r="J16" s="176">
        <f>+G16+H16+I16</f>
        <v>150</v>
      </c>
      <c r="K16" s="250">
        <v>199</v>
      </c>
      <c r="L16" s="251">
        <f>250+300+250+150+150+150+125+125+125+100+100+100+100+100+100+60+50+50+50+40+35+60+15+25+25+20+80+10</f>
        <v>2745</v>
      </c>
      <c r="M16" s="252"/>
      <c r="N16" s="256">
        <f>+K16+L16+M16</f>
        <v>2944</v>
      </c>
      <c r="O16" s="235"/>
      <c r="P16" s="234"/>
      <c r="Q16" s="187">
        <f>+P16+O16+N16</f>
        <v>2944</v>
      </c>
      <c r="R16" s="183">
        <f>+Q16+J16+F16</f>
        <v>3094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>
        <v>150</v>
      </c>
      <c r="H17" s="211"/>
      <c r="I17" s="212"/>
      <c r="J17" s="176">
        <f t="shared" ref="J17:J46" si="1">+G17+H17+I17</f>
        <v>150</v>
      </c>
      <c r="K17" s="250">
        <v>195</v>
      </c>
      <c r="L17" s="251">
        <f>267+300+250+250+150+150+150+125+125+100+100+100+100+100+100+60+50+50+50+75+40+35+60+25+25+20+80+10+100+50</f>
        <v>3097</v>
      </c>
      <c r="M17" s="252"/>
      <c r="N17" s="256">
        <f t="shared" ref="N17:N46" si="2">+K17+L17+M17</f>
        <v>3292</v>
      </c>
      <c r="O17" s="213"/>
      <c r="P17" s="214"/>
      <c r="Q17" s="187">
        <f t="shared" ref="Q17:Q46" si="3">+P17+O17+N17</f>
        <v>3292</v>
      </c>
      <c r="R17" s="183">
        <f t="shared" ref="R17:R46" si="4">+Q17+J17+F17</f>
        <v>3442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36</v>
      </c>
      <c r="L18" s="251">
        <f>92+250+150+150</f>
        <v>642</v>
      </c>
      <c r="M18" s="252"/>
      <c r="N18" s="256">
        <f t="shared" si="2"/>
        <v>678</v>
      </c>
      <c r="O18" s="213"/>
      <c r="P18" s="214"/>
      <c r="Q18" s="187">
        <f t="shared" si="3"/>
        <v>678</v>
      </c>
      <c r="R18" s="183">
        <f t="shared" si="4"/>
        <v>678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25</v>
      </c>
      <c r="L19" s="251">
        <f>95+250+100</f>
        <v>445</v>
      </c>
      <c r="M19" s="252"/>
      <c r="N19" s="256">
        <f t="shared" si="2"/>
        <v>470</v>
      </c>
      <c r="O19" s="213"/>
      <c r="P19" s="214"/>
      <c r="Q19" s="187">
        <f t="shared" si="3"/>
        <v>470</v>
      </c>
      <c r="R19" s="183">
        <f t="shared" si="4"/>
        <v>470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>
        <v>150</v>
      </c>
      <c r="H20" s="211"/>
      <c r="I20" s="212"/>
      <c r="J20" s="176">
        <f t="shared" si="1"/>
        <v>150</v>
      </c>
      <c r="K20" s="250">
        <v>196</v>
      </c>
      <c r="L20" s="251">
        <f>245+300+250+150+150+150+125+125+100+100+100+100+100+100+60+50+50+50+40+35+60+15+25+25+20+80+10+100</f>
        <v>2715</v>
      </c>
      <c r="M20" s="252"/>
      <c r="N20" s="256">
        <f t="shared" si="2"/>
        <v>2911</v>
      </c>
      <c r="O20" s="213"/>
      <c r="P20" s="214"/>
      <c r="Q20" s="187">
        <f t="shared" si="3"/>
        <v>2911</v>
      </c>
      <c r="R20" s="183">
        <f t="shared" si="4"/>
        <v>3061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>
        <v>150</v>
      </c>
      <c r="H21" s="211"/>
      <c r="I21" s="212"/>
      <c r="J21" s="176">
        <f t="shared" si="1"/>
        <v>150</v>
      </c>
      <c r="K21" s="250">
        <v>196</v>
      </c>
      <c r="L21" s="251">
        <f>243+250+150+150+150+150+125+125+125+100+100+100+100+100+100+60+50+50+50+40+35+60+15+25+25+20+80+10+100</f>
        <v>2688</v>
      </c>
      <c r="M21" s="252"/>
      <c r="N21" s="256">
        <f t="shared" si="2"/>
        <v>2884</v>
      </c>
      <c r="O21" s="213"/>
      <c r="P21" s="214"/>
      <c r="Q21" s="187">
        <f t="shared" si="3"/>
        <v>2884</v>
      </c>
      <c r="R21" s="183">
        <f t="shared" si="4"/>
        <v>3034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>
        <v>150</v>
      </c>
      <c r="H22" s="211"/>
      <c r="I22" s="212"/>
      <c r="J22" s="176">
        <f t="shared" si="1"/>
        <v>150</v>
      </c>
      <c r="K22" s="250">
        <v>201</v>
      </c>
      <c r="L22" s="251">
        <f>250+250+200+200+150+150+150+125+125+100+100+100+100+100+100+60+50+50+50+40+35+60+15+25+25+20+80+10+100+125+50+75+150</f>
        <v>3220</v>
      </c>
      <c r="M22" s="252"/>
      <c r="N22" s="256">
        <f t="shared" si="2"/>
        <v>3421</v>
      </c>
      <c r="O22" s="213"/>
      <c r="P22" s="214"/>
      <c r="Q22" s="187">
        <f t="shared" si="3"/>
        <v>3421</v>
      </c>
      <c r="R22" s="183">
        <f t="shared" si="4"/>
        <v>3571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>
        <v>150</v>
      </c>
      <c r="H23" s="211"/>
      <c r="I23" s="212"/>
      <c r="J23" s="176">
        <f t="shared" si="1"/>
        <v>150</v>
      </c>
      <c r="K23" s="250">
        <v>196</v>
      </c>
      <c r="L23" s="251">
        <f>252+300+250+150+150+150+150+125+125+100+100+100+100+100+100+60+50+50+50+40+35+60+15+25+25+20+80+10+47+100+125</f>
        <v>3044</v>
      </c>
      <c r="M23" s="252"/>
      <c r="N23" s="256">
        <f t="shared" si="2"/>
        <v>3240</v>
      </c>
      <c r="O23" s="213"/>
      <c r="P23" s="214"/>
      <c r="Q23" s="187">
        <f t="shared" si="3"/>
        <v>3240</v>
      </c>
      <c r="R23" s="183">
        <f t="shared" si="4"/>
        <v>3390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>
        <v>150</v>
      </c>
      <c r="H24" s="211"/>
      <c r="I24" s="212"/>
      <c r="J24" s="176">
        <f t="shared" si="1"/>
        <v>150</v>
      </c>
      <c r="K24" s="250">
        <v>198</v>
      </c>
      <c r="L24" s="251">
        <f>257+300+250+150+150+150+150+125+125+100+100+100+100+100+100+60+50+50+50+75+40+35+60+25+25+20+80+10+125+60</f>
        <v>3022</v>
      </c>
      <c r="M24" s="252"/>
      <c r="N24" s="256">
        <f t="shared" si="2"/>
        <v>3220</v>
      </c>
      <c r="O24" s="213"/>
      <c r="P24" s="214"/>
      <c r="Q24" s="187">
        <f t="shared" si="3"/>
        <v>3220</v>
      </c>
      <c r="R24" s="183">
        <f t="shared" si="4"/>
        <v>3370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31</v>
      </c>
      <c r="L25" s="251">
        <f>80+150+100</f>
        <v>330</v>
      </c>
      <c r="M25" s="252"/>
      <c r="N25" s="256">
        <f t="shared" si="2"/>
        <v>361</v>
      </c>
      <c r="O25" s="213"/>
      <c r="P25" s="214"/>
      <c r="Q25" s="187">
        <f t="shared" si="3"/>
        <v>361</v>
      </c>
      <c r="R25" s="183">
        <f t="shared" si="4"/>
        <v>361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14</v>
      </c>
      <c r="L26" s="251">
        <f>104+100</f>
        <v>204</v>
      </c>
      <c r="M26" s="252"/>
      <c r="N26" s="256">
        <f t="shared" si="2"/>
        <v>218</v>
      </c>
      <c r="O26" s="213"/>
      <c r="P26" s="214"/>
      <c r="Q26" s="187">
        <f t="shared" si="3"/>
        <v>218</v>
      </c>
      <c r="R26" s="183">
        <f t="shared" si="4"/>
        <v>218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197</v>
      </c>
      <c r="L27" s="251">
        <f>250+300+250+150+150+150+125+125+125+100+100+100+100+100+100+60+50+50+50+40+35+60+15+25+25+20+80+10</f>
        <v>2745</v>
      </c>
      <c r="M27" s="252"/>
      <c r="N27" s="256">
        <f t="shared" si="2"/>
        <v>2942</v>
      </c>
      <c r="O27" s="213"/>
      <c r="P27" s="214"/>
      <c r="Q27" s="187">
        <f t="shared" si="3"/>
        <v>2942</v>
      </c>
      <c r="R27" s="183">
        <f t="shared" si="4"/>
        <v>2942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219</v>
      </c>
      <c r="L28" s="251">
        <f>247+300+250+150+150+150+125+125+125+100+100+100+100+100+100+60+50+50+50+40+35+60+15+25+25+20+80+10</f>
        <v>2742</v>
      </c>
      <c r="M28" s="252"/>
      <c r="N28" s="256">
        <f t="shared" si="2"/>
        <v>2961</v>
      </c>
      <c r="O28" s="213"/>
      <c r="P28" s="214"/>
      <c r="Q28" s="187">
        <f t="shared" si="3"/>
        <v>2961</v>
      </c>
      <c r="R28" s="183">
        <f t="shared" si="4"/>
        <v>2961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215</v>
      </c>
      <c r="L29" s="251">
        <f>260+250+200+150+150+150+125+125+125+100+100+100+100+100+100+60+50+50+50+40+35+60+15+25+25+20+80+10+47+75</f>
        <v>2777</v>
      </c>
      <c r="M29" s="252"/>
      <c r="N29" s="256">
        <f t="shared" si="2"/>
        <v>2992</v>
      </c>
      <c r="O29" s="213"/>
      <c r="P29" s="214"/>
      <c r="Q29" s="187">
        <f t="shared" si="3"/>
        <v>2992</v>
      </c>
      <c r="R29" s="183">
        <f t="shared" si="4"/>
        <v>2992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217</v>
      </c>
      <c r="L30" s="251">
        <f>260+300+250+150+150+150+125+125+100+100+100+100+100+100+60+50+50+50+40+35+60+15+25+25+20+80+10</f>
        <v>2630</v>
      </c>
      <c r="M30" s="252"/>
      <c r="N30" s="256">
        <f t="shared" si="2"/>
        <v>2847</v>
      </c>
      <c r="O30" s="213"/>
      <c r="P30" s="214"/>
      <c r="Q30" s="187">
        <f t="shared" si="3"/>
        <v>2847</v>
      </c>
      <c r="R30" s="183">
        <f t="shared" si="4"/>
        <v>2847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215</v>
      </c>
      <c r="L31" s="251">
        <f>269+300+250+250+150+150+150+125+100+100+100+100+100+100+65+60+50+50+50+40+35+60+15+25+25+20+80+10+47</f>
        <v>2876</v>
      </c>
      <c r="M31" s="252"/>
      <c r="N31" s="256">
        <f t="shared" si="2"/>
        <v>3091</v>
      </c>
      <c r="O31" s="213"/>
      <c r="P31" s="214"/>
      <c r="Q31" s="187">
        <f t="shared" si="3"/>
        <v>3091</v>
      </c>
      <c r="R31" s="183">
        <f t="shared" si="4"/>
        <v>3091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64</v>
      </c>
      <c r="L32" s="251">
        <v>118</v>
      </c>
      <c r="M32" s="252"/>
      <c r="N32" s="256">
        <f t="shared" si="2"/>
        <v>182</v>
      </c>
      <c r="O32" s="213"/>
      <c r="P32" s="214"/>
      <c r="Q32" s="187">
        <f t="shared" si="3"/>
        <v>182</v>
      </c>
      <c r="R32" s="183">
        <f t="shared" si="4"/>
        <v>182</v>
      </c>
      <c r="S32" s="215"/>
      <c r="T32" s="215"/>
    </row>
    <row r="33" spans="2:22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21</v>
      </c>
      <c r="L33" s="251">
        <v>115</v>
      </c>
      <c r="M33" s="252"/>
      <c r="N33" s="256">
        <f t="shared" si="2"/>
        <v>136</v>
      </c>
      <c r="O33" s="213"/>
      <c r="P33" s="214"/>
      <c r="Q33" s="187">
        <f t="shared" si="3"/>
        <v>136</v>
      </c>
      <c r="R33" s="183">
        <f t="shared" si="4"/>
        <v>136</v>
      </c>
      <c r="S33" s="215"/>
      <c r="T33" s="215"/>
    </row>
    <row r="34" spans="2:22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159</v>
      </c>
      <c r="L34" s="251">
        <f>300+250+150+125+100+100+80+60+50+50+40+60+25+20</f>
        <v>1410</v>
      </c>
      <c r="M34" s="252"/>
      <c r="N34" s="256">
        <f t="shared" si="2"/>
        <v>1569</v>
      </c>
      <c r="O34" s="213"/>
      <c r="P34" s="214"/>
      <c r="Q34" s="187">
        <f t="shared" si="3"/>
        <v>1569</v>
      </c>
      <c r="R34" s="183">
        <f t="shared" si="4"/>
        <v>1569</v>
      </c>
      <c r="S34" s="215"/>
      <c r="T34" s="215"/>
    </row>
    <row r="35" spans="2:22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213</v>
      </c>
      <c r="L35" s="251">
        <f>250+300+250+150+150+125+100+100+100+100+100+60+50+50+50+40+60+25+25+20+80+10+130+130+130+312</f>
        <v>2897</v>
      </c>
      <c r="M35" s="252"/>
      <c r="N35" s="256">
        <f t="shared" si="2"/>
        <v>3110</v>
      </c>
      <c r="O35" s="213"/>
      <c r="P35" s="214"/>
      <c r="Q35" s="187">
        <f t="shared" si="3"/>
        <v>3110</v>
      </c>
      <c r="R35" s="183">
        <f t="shared" si="4"/>
        <v>3110</v>
      </c>
      <c r="S35" s="215"/>
      <c r="T35" s="215"/>
      <c r="V35" s="245"/>
    </row>
    <row r="36" spans="2:22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202</v>
      </c>
      <c r="L36" s="251">
        <f>250+300+250+312+200+150+150+125+125+125+100+100+100+100+100+100+60+50+50+50+40+35+60+25+25+20+80+10+47+75+40</f>
        <v>3254</v>
      </c>
      <c r="M36" s="252"/>
      <c r="N36" s="256">
        <f t="shared" si="2"/>
        <v>3456</v>
      </c>
      <c r="O36" s="213"/>
      <c r="P36" s="214"/>
      <c r="Q36" s="187">
        <f t="shared" si="3"/>
        <v>3456</v>
      </c>
      <c r="R36" s="183">
        <f t="shared" si="4"/>
        <v>3456</v>
      </c>
      <c r="S36" s="215"/>
      <c r="T36" s="215"/>
    </row>
    <row r="37" spans="2:22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>
        <f>30+30</f>
        <v>60</v>
      </c>
      <c r="I37" s="212"/>
      <c r="J37" s="176">
        <f t="shared" si="1"/>
        <v>60</v>
      </c>
      <c r="K37" s="250">
        <v>183</v>
      </c>
      <c r="L37" s="251">
        <f>200+300+250+200+150+150+125+125+100+100+100+100+100+100+60+50+50+50+40+35+60+25+25+20+80+10+125+100</f>
        <v>2830</v>
      </c>
      <c r="M37" s="252"/>
      <c r="N37" s="256">
        <f t="shared" si="2"/>
        <v>3013</v>
      </c>
      <c r="O37" s="213"/>
      <c r="P37" s="214"/>
      <c r="Q37" s="187">
        <f t="shared" si="3"/>
        <v>3013</v>
      </c>
      <c r="R37" s="183">
        <f t="shared" si="4"/>
        <v>3073</v>
      </c>
      <c r="S37" s="215"/>
      <c r="T37" s="215"/>
    </row>
    <row r="38" spans="2:22" ht="15" customHeight="1" thickBot="1" x14ac:dyDescent="0.35">
      <c r="B38" s="26" t="s">
        <v>217</v>
      </c>
      <c r="C38" s="216"/>
      <c r="D38" s="217"/>
      <c r="E38" s="218"/>
      <c r="F38" s="177">
        <f t="shared" si="0"/>
        <v>0</v>
      </c>
      <c r="G38" s="210"/>
      <c r="H38" s="211">
        <f>30+30</f>
        <v>60</v>
      </c>
      <c r="I38" s="212"/>
      <c r="J38" s="176">
        <f t="shared" si="1"/>
        <v>60</v>
      </c>
      <c r="K38" s="250">
        <v>202</v>
      </c>
      <c r="L38" s="251">
        <f>200+200+150+150+125+125+125+100+100+100+100+100+100+60+50+50+50+75+40+35+60+25+25+20+10+47+100</f>
        <v>2322</v>
      </c>
      <c r="M38" s="252"/>
      <c r="N38" s="256">
        <f t="shared" si="2"/>
        <v>2524</v>
      </c>
      <c r="O38" s="213"/>
      <c r="P38" s="214"/>
      <c r="Q38" s="187">
        <f t="shared" si="3"/>
        <v>2524</v>
      </c>
      <c r="R38" s="183">
        <f t="shared" si="4"/>
        <v>2584</v>
      </c>
      <c r="S38" s="215"/>
      <c r="T38" s="215"/>
    </row>
    <row r="39" spans="2:22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>
        <f>30+30</f>
        <v>60</v>
      </c>
      <c r="I39" s="212"/>
      <c r="J39" s="176">
        <f t="shared" si="1"/>
        <v>60</v>
      </c>
      <c r="K39" s="250">
        <v>171</v>
      </c>
      <c r="L39" s="251">
        <f>127+200</f>
        <v>327</v>
      </c>
      <c r="M39" s="252"/>
      <c r="N39" s="256">
        <f t="shared" si="2"/>
        <v>498</v>
      </c>
      <c r="O39" s="213"/>
      <c r="P39" s="214"/>
      <c r="Q39" s="187">
        <f t="shared" si="3"/>
        <v>498</v>
      </c>
      <c r="R39" s="183">
        <f t="shared" si="4"/>
        <v>558</v>
      </c>
      <c r="S39" s="215"/>
      <c r="T39" s="215"/>
    </row>
    <row r="40" spans="2:22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18</v>
      </c>
      <c r="L40" s="251">
        <f>73+100</f>
        <v>173</v>
      </c>
      <c r="M40" s="252"/>
      <c r="N40" s="256">
        <f t="shared" si="2"/>
        <v>191</v>
      </c>
      <c r="O40" s="213"/>
      <c r="P40" s="214"/>
      <c r="Q40" s="187">
        <f t="shared" si="3"/>
        <v>191</v>
      </c>
      <c r="R40" s="183">
        <f t="shared" si="4"/>
        <v>191</v>
      </c>
      <c r="S40" s="215"/>
      <c r="T40" s="215"/>
    </row>
    <row r="41" spans="2:22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207</v>
      </c>
      <c r="L41" s="251">
        <f>200+300+200+250+150+150+125+125+125+100+100+100+100+100+100+60+50+50+50+40+35+60+25+25+20+80+10</f>
        <v>2730</v>
      </c>
      <c r="M41" s="252"/>
      <c r="N41" s="256">
        <f t="shared" si="2"/>
        <v>2937</v>
      </c>
      <c r="O41" s="213"/>
      <c r="P41" s="214"/>
      <c r="Q41" s="187">
        <f t="shared" si="3"/>
        <v>2937</v>
      </c>
      <c r="R41" s="183">
        <f t="shared" si="4"/>
        <v>2937</v>
      </c>
      <c r="S41" s="215"/>
      <c r="T41" s="215"/>
    </row>
    <row r="42" spans="2:22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217</v>
      </c>
      <c r="L42" s="251">
        <f>200+125+125+150+150+200+250+300+100+125+100+100+100+100+100+100+60+50+50+50+40+35+60+25+25+20+80+10+47</f>
        <v>2877</v>
      </c>
      <c r="M42" s="252"/>
      <c r="N42" s="256">
        <f t="shared" si="2"/>
        <v>3094</v>
      </c>
      <c r="O42" s="213"/>
      <c r="P42" s="214"/>
      <c r="Q42" s="187">
        <f t="shared" si="3"/>
        <v>3094</v>
      </c>
      <c r="R42" s="183">
        <f t="shared" si="4"/>
        <v>3094</v>
      </c>
      <c r="S42" s="215"/>
      <c r="T42" s="215"/>
    </row>
    <row r="43" spans="2:22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202</v>
      </c>
      <c r="L43" s="251">
        <f>200+250+200+200+150+150+125+125+125+100+100+100+100+100+100+60+50+50+50+40+35+60+25+25+20+80+10+47+75</f>
        <v>2752</v>
      </c>
      <c r="M43" s="252"/>
      <c r="N43" s="256">
        <f t="shared" si="2"/>
        <v>2954</v>
      </c>
      <c r="O43" s="213"/>
      <c r="P43" s="214"/>
      <c r="Q43" s="187">
        <f t="shared" si="3"/>
        <v>2954</v>
      </c>
      <c r="R43" s="183">
        <f t="shared" si="4"/>
        <v>2954</v>
      </c>
      <c r="S43" s="215"/>
      <c r="T43" s="215"/>
    </row>
    <row r="44" spans="2:22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211</v>
      </c>
      <c r="L44" s="251">
        <f>200+300+250+220+200+150+150+125+125+125+100+100+100+100+100+100+60+50+50+50+40+35+60+15+25+25+20+80+10+100</f>
        <v>3065</v>
      </c>
      <c r="M44" s="252"/>
      <c r="N44" s="256">
        <f t="shared" si="2"/>
        <v>3276</v>
      </c>
      <c r="O44" s="213"/>
      <c r="P44" s="214"/>
      <c r="Q44" s="187">
        <f t="shared" si="3"/>
        <v>3276</v>
      </c>
      <c r="R44" s="183">
        <f t="shared" si="4"/>
        <v>3276</v>
      </c>
      <c r="S44" s="215"/>
      <c r="T44" s="215"/>
    </row>
    <row r="45" spans="2:22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278</v>
      </c>
      <c r="L45" s="251">
        <f>200+200+200+250+150+150+125+125+100+100+100+100+100+100+125+60+50+50+50+75+40+35+60+15+25+25+20+80+10+47</f>
        <v>2767</v>
      </c>
      <c r="M45" s="252"/>
      <c r="N45" s="256">
        <f t="shared" si="2"/>
        <v>3045</v>
      </c>
      <c r="O45" s="213"/>
      <c r="P45" s="214"/>
      <c r="Q45" s="187">
        <f t="shared" si="3"/>
        <v>3045</v>
      </c>
      <c r="R45" s="183">
        <f t="shared" si="4"/>
        <v>3045</v>
      </c>
      <c r="S45" s="215"/>
      <c r="T45" s="215"/>
    </row>
    <row r="46" spans="2:22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2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2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1050</v>
      </c>
      <c r="H48" s="181">
        <f t="shared" si="5"/>
        <v>180</v>
      </c>
      <c r="I48" s="182">
        <f t="shared" si="5"/>
        <v>0</v>
      </c>
      <c r="J48" s="175">
        <f>SUM(J16:J46)</f>
        <v>1230</v>
      </c>
      <c r="K48" s="261">
        <f t="shared" si="5"/>
        <v>4898</v>
      </c>
      <c r="L48" s="259">
        <f t="shared" si="5"/>
        <v>63559</v>
      </c>
      <c r="M48" s="260">
        <f t="shared" si="5"/>
        <v>0</v>
      </c>
      <c r="N48" s="258">
        <f>SUM(N16:N46)</f>
        <v>68457</v>
      </c>
      <c r="O48" s="195">
        <f t="shared" si="5"/>
        <v>0</v>
      </c>
      <c r="P48" s="195">
        <f t="shared" si="5"/>
        <v>0</v>
      </c>
      <c r="Q48" s="194">
        <f>SUM(Q16:Q46)</f>
        <v>68457</v>
      </c>
      <c r="R48" s="184">
        <f>SUM(R16:R46)</f>
        <v>69687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dataValidations disablePrompts="1" count="1">
    <dataValidation type="list" allowBlank="1" showInputMessage="1" showErrorMessage="1" sqref="AB22:AG22">
      <formula1>$C$18:$C$68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29" zoomScale="72" zoomScaleNormal="72" workbookViewId="0">
      <pane xSplit="1" topLeftCell="B1" activePane="topRight" state="frozen"/>
      <selection activeCell="R13" sqref="R13"/>
      <selection pane="topRight"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1" width="11.44140625" style="89"/>
    <col min="12" max="12" width="11.88671875" style="89" customWidth="1"/>
    <col min="13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39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529" t="s">
        <v>29</v>
      </c>
      <c r="H14" s="530"/>
      <c r="I14" s="530"/>
      <c r="J14" s="531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65" t="s">
        <v>52</v>
      </c>
      <c r="E15" s="166" t="s">
        <v>53</v>
      </c>
      <c r="F15" s="170" t="s">
        <v>183</v>
      </c>
      <c r="G15" s="160" t="s">
        <v>73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20</v>
      </c>
      <c r="L16" s="251">
        <f>790+40+20+10+45</f>
        <v>905</v>
      </c>
      <c r="M16" s="252"/>
      <c r="N16" s="256">
        <f>+K16+L16+M16</f>
        <v>925</v>
      </c>
      <c r="O16" s="233"/>
      <c r="P16" s="234"/>
      <c r="Q16" s="187">
        <f>+P16+O16+N16</f>
        <v>925</v>
      </c>
      <c r="R16" s="183">
        <f>+Q16+J16+F16</f>
        <v>925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20</v>
      </c>
      <c r="L17" s="251">
        <f>747+40+20+10+45</f>
        <v>862</v>
      </c>
      <c r="M17" s="252"/>
      <c r="N17" s="256">
        <f t="shared" ref="N17:N46" si="2">+K17+L17+M17</f>
        <v>882</v>
      </c>
      <c r="O17" s="213"/>
      <c r="P17" s="214"/>
      <c r="Q17" s="187">
        <f t="shared" ref="Q17:Q46" si="3">+P17+O17+N17</f>
        <v>882</v>
      </c>
      <c r="R17" s="183">
        <f t="shared" ref="R17:R46" si="4">+Q17+J17+F17</f>
        <v>882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20</v>
      </c>
      <c r="L20" s="251">
        <f>712+40+20+10+45</f>
        <v>827</v>
      </c>
      <c r="M20" s="252"/>
      <c r="N20" s="256">
        <f t="shared" si="2"/>
        <v>847</v>
      </c>
      <c r="O20" s="213"/>
      <c r="P20" s="214"/>
      <c r="Q20" s="187">
        <f t="shared" si="3"/>
        <v>847</v>
      </c>
      <c r="R20" s="183">
        <f t="shared" si="4"/>
        <v>847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20</v>
      </c>
      <c r="L21" s="251">
        <f>830+40+20+10+45</f>
        <v>945</v>
      </c>
      <c r="M21" s="252"/>
      <c r="N21" s="256">
        <f t="shared" si="2"/>
        <v>965</v>
      </c>
      <c r="O21" s="213"/>
      <c r="P21" s="214"/>
      <c r="Q21" s="187">
        <f t="shared" si="3"/>
        <v>965</v>
      </c>
      <c r="R21" s="183">
        <f t="shared" si="4"/>
        <v>965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20</v>
      </c>
      <c r="L22" s="251">
        <f>723+40+20+10+45</f>
        <v>838</v>
      </c>
      <c r="M22" s="252"/>
      <c r="N22" s="256">
        <f t="shared" si="2"/>
        <v>858</v>
      </c>
      <c r="O22" s="213"/>
      <c r="P22" s="214"/>
      <c r="Q22" s="187">
        <f t="shared" si="3"/>
        <v>858</v>
      </c>
      <c r="R22" s="183">
        <f t="shared" si="4"/>
        <v>858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20</v>
      </c>
      <c r="L23" s="251">
        <f>794+40+20+10+45</f>
        <v>909</v>
      </c>
      <c r="M23" s="252"/>
      <c r="N23" s="256">
        <f t="shared" si="2"/>
        <v>929</v>
      </c>
      <c r="O23" s="213"/>
      <c r="P23" s="214"/>
      <c r="Q23" s="187">
        <f t="shared" si="3"/>
        <v>929</v>
      </c>
      <c r="R23" s="183">
        <f t="shared" si="4"/>
        <v>929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20</v>
      </c>
      <c r="L24" s="251">
        <f>753+40+20+10+45</f>
        <v>868</v>
      </c>
      <c r="M24" s="252"/>
      <c r="N24" s="256">
        <f t="shared" si="2"/>
        <v>888</v>
      </c>
      <c r="O24" s="213"/>
      <c r="P24" s="214"/>
      <c r="Q24" s="187">
        <f t="shared" si="3"/>
        <v>888</v>
      </c>
      <c r="R24" s="183">
        <f t="shared" si="4"/>
        <v>888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20</v>
      </c>
      <c r="L27" s="251">
        <f>725+40+20+10+45</f>
        <v>840</v>
      </c>
      <c r="M27" s="252"/>
      <c r="N27" s="256">
        <f t="shared" si="2"/>
        <v>860</v>
      </c>
      <c r="O27" s="213"/>
      <c r="P27" s="214"/>
      <c r="Q27" s="187">
        <f t="shared" si="3"/>
        <v>860</v>
      </c>
      <c r="R27" s="183">
        <f t="shared" si="4"/>
        <v>860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20</v>
      </c>
      <c r="L28" s="251">
        <f>805+40+20+10+45+200</f>
        <v>1120</v>
      </c>
      <c r="M28" s="252"/>
      <c r="N28" s="256">
        <f t="shared" si="2"/>
        <v>1140</v>
      </c>
      <c r="O28" s="213"/>
      <c r="P28" s="214"/>
      <c r="Q28" s="187">
        <f t="shared" si="3"/>
        <v>1140</v>
      </c>
      <c r="R28" s="183">
        <f t="shared" si="4"/>
        <v>1140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20</v>
      </c>
      <c r="L29" s="251">
        <f>867+40+20+10+45+100</f>
        <v>1082</v>
      </c>
      <c r="M29" s="252"/>
      <c r="N29" s="256">
        <f t="shared" si="2"/>
        <v>1102</v>
      </c>
      <c r="O29" s="213"/>
      <c r="P29" s="214"/>
      <c r="Q29" s="187">
        <f t="shared" si="3"/>
        <v>1102</v>
      </c>
      <c r="R29" s="183">
        <f t="shared" si="4"/>
        <v>1102</v>
      </c>
      <c r="S29" s="215"/>
      <c r="T29" s="215"/>
    </row>
    <row r="30" spans="2:20" ht="15" customHeight="1" thickBot="1" x14ac:dyDescent="0.35">
      <c r="B30" s="26" t="s">
        <v>74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20</v>
      </c>
      <c r="L30" s="251">
        <f>800+40+20+45+10</f>
        <v>915</v>
      </c>
      <c r="M30" s="252"/>
      <c r="N30" s="256">
        <f t="shared" si="2"/>
        <v>935</v>
      </c>
      <c r="O30" s="213"/>
      <c r="P30" s="214"/>
      <c r="Q30" s="187">
        <f t="shared" si="3"/>
        <v>935</v>
      </c>
      <c r="R30" s="183">
        <f t="shared" si="4"/>
        <v>935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20</v>
      </c>
      <c r="L31" s="251">
        <f>765+40+20+10+45</f>
        <v>880</v>
      </c>
      <c r="M31" s="252"/>
      <c r="N31" s="256">
        <f t="shared" si="2"/>
        <v>900</v>
      </c>
      <c r="O31" s="213"/>
      <c r="P31" s="214"/>
      <c r="Q31" s="187">
        <f t="shared" si="3"/>
        <v>900</v>
      </c>
      <c r="R31" s="183">
        <f t="shared" si="4"/>
        <v>900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20</v>
      </c>
      <c r="L34" s="251">
        <f>728+10+10+5+13+20</f>
        <v>786</v>
      </c>
      <c r="M34" s="252"/>
      <c r="N34" s="256">
        <f t="shared" si="2"/>
        <v>806</v>
      </c>
      <c r="O34" s="213"/>
      <c r="P34" s="214"/>
      <c r="Q34" s="187">
        <f t="shared" si="3"/>
        <v>806</v>
      </c>
      <c r="R34" s="183">
        <f t="shared" si="4"/>
        <v>806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20</v>
      </c>
      <c r="L35" s="251">
        <f>765+40+20+10+45</f>
        <v>880</v>
      </c>
      <c r="M35" s="252"/>
      <c r="N35" s="256">
        <f t="shared" si="2"/>
        <v>900</v>
      </c>
      <c r="O35" s="213"/>
      <c r="P35" s="214"/>
      <c r="Q35" s="187">
        <f t="shared" si="3"/>
        <v>900</v>
      </c>
      <c r="R35" s="183">
        <f t="shared" si="4"/>
        <v>900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20</v>
      </c>
      <c r="L36" s="251">
        <f>762+40+20+10+45</f>
        <v>877</v>
      </c>
      <c r="M36" s="252"/>
      <c r="N36" s="256">
        <f t="shared" si="2"/>
        <v>897</v>
      </c>
      <c r="O36" s="213"/>
      <c r="P36" s="214"/>
      <c r="Q36" s="187">
        <f t="shared" si="3"/>
        <v>897</v>
      </c>
      <c r="R36" s="183">
        <f t="shared" si="4"/>
        <v>897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20</v>
      </c>
      <c r="L37" s="251">
        <f>885+40+20+10+45+75+15</f>
        <v>1090</v>
      </c>
      <c r="M37" s="252"/>
      <c r="N37" s="256">
        <f t="shared" si="2"/>
        <v>1110</v>
      </c>
      <c r="O37" s="213"/>
      <c r="P37" s="214"/>
      <c r="Q37" s="187">
        <f t="shared" si="3"/>
        <v>1110</v>
      </c>
      <c r="R37" s="183">
        <f t="shared" si="4"/>
        <v>1110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20</v>
      </c>
      <c r="L38" s="251">
        <f>775+40+20+10+45+15</f>
        <v>905</v>
      </c>
      <c r="M38" s="252"/>
      <c r="N38" s="256">
        <f t="shared" si="2"/>
        <v>925</v>
      </c>
      <c r="O38" s="213"/>
      <c r="P38" s="214"/>
      <c r="Q38" s="187">
        <f t="shared" si="3"/>
        <v>925</v>
      </c>
      <c r="R38" s="183">
        <f t="shared" si="4"/>
        <v>925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20</v>
      </c>
      <c r="L41" s="251">
        <f>740+20+10+40+45+15</f>
        <v>870</v>
      </c>
      <c r="M41" s="252"/>
      <c r="N41" s="256">
        <f t="shared" si="2"/>
        <v>890</v>
      </c>
      <c r="O41" s="213"/>
      <c r="P41" s="214"/>
      <c r="Q41" s="187">
        <f t="shared" si="3"/>
        <v>890</v>
      </c>
      <c r="R41" s="183">
        <f t="shared" si="4"/>
        <v>890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20</v>
      </c>
      <c r="L42" s="251">
        <f>800+20+10+40+45+15</f>
        <v>930</v>
      </c>
      <c r="M42" s="252"/>
      <c r="N42" s="256">
        <f t="shared" si="2"/>
        <v>950</v>
      </c>
      <c r="O42" s="213"/>
      <c r="P42" s="214"/>
      <c r="Q42" s="187">
        <f t="shared" si="3"/>
        <v>950</v>
      </c>
      <c r="R42" s="183">
        <f t="shared" si="4"/>
        <v>950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20</v>
      </c>
      <c r="L43" s="251">
        <f>748+40+20+10+45+15</f>
        <v>878</v>
      </c>
      <c r="M43" s="252"/>
      <c r="N43" s="256">
        <f t="shared" si="2"/>
        <v>898</v>
      </c>
      <c r="O43" s="213"/>
      <c r="P43" s="214"/>
      <c r="Q43" s="187">
        <f t="shared" si="3"/>
        <v>898</v>
      </c>
      <c r="R43" s="183">
        <f t="shared" si="4"/>
        <v>898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20</v>
      </c>
      <c r="L44" s="251">
        <f>753+40+20+10+45+15</f>
        <v>883</v>
      </c>
      <c r="M44" s="252"/>
      <c r="N44" s="256">
        <f t="shared" si="2"/>
        <v>903</v>
      </c>
      <c r="O44" s="213"/>
      <c r="P44" s="214"/>
      <c r="Q44" s="187">
        <f t="shared" si="3"/>
        <v>903</v>
      </c>
      <c r="R44" s="183">
        <f t="shared" si="4"/>
        <v>903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20</v>
      </c>
      <c r="L45" s="251">
        <f>770+40+20+10+45+15</f>
        <v>900</v>
      </c>
      <c r="M45" s="252"/>
      <c r="N45" s="256">
        <f t="shared" si="2"/>
        <v>920</v>
      </c>
      <c r="O45" s="213"/>
      <c r="P45" s="214"/>
      <c r="Q45" s="187">
        <f t="shared" si="3"/>
        <v>920</v>
      </c>
      <c r="R45" s="183">
        <f t="shared" si="4"/>
        <v>920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440</v>
      </c>
      <c r="L48" s="259">
        <f t="shared" si="5"/>
        <v>19990</v>
      </c>
      <c r="M48" s="260">
        <f t="shared" si="5"/>
        <v>0</v>
      </c>
      <c r="N48" s="258">
        <f>SUM(N16:N46)</f>
        <v>20430</v>
      </c>
      <c r="O48" s="195">
        <f t="shared" si="5"/>
        <v>0</v>
      </c>
      <c r="P48" s="195">
        <f t="shared" si="5"/>
        <v>0</v>
      </c>
      <c r="Q48" s="194">
        <f>SUM(Q16:Q46)</f>
        <v>20430</v>
      </c>
      <c r="R48" s="185">
        <f>SUM(R16:R46)</f>
        <v>20430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20430</v>
      </c>
    </row>
    <row r="51" spans="2:18" ht="15" customHeight="1" x14ac:dyDescent="0.3">
      <c r="K51" s="215">
        <f>SUM(K16:K46)</f>
        <v>440</v>
      </c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7">
    <mergeCell ref="A9:Q9"/>
    <mergeCell ref="D12:K12"/>
    <mergeCell ref="K14:Q14"/>
    <mergeCell ref="A7:Q7"/>
    <mergeCell ref="A8:Q8"/>
    <mergeCell ref="D14:F14"/>
    <mergeCell ref="G14:J14"/>
  </mergeCells>
  <pageMargins left="0.7" right="0.7" top="0.75" bottom="0.75" header="0.3" footer="0.3"/>
  <pageSetup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B33" zoomScale="69" zoomScaleNormal="69" workbookViewId="0">
      <selection activeCell="D27" sqref="D27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101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06"/>
      <c r="H14" s="307" t="s">
        <v>29</v>
      </c>
      <c r="I14" s="307"/>
      <c r="J14" s="308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207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18</v>
      </c>
      <c r="L16" s="251">
        <f>579+28</f>
        <v>607</v>
      </c>
      <c r="M16" s="252"/>
      <c r="N16" s="256">
        <f>+K16+L16+M16</f>
        <v>625</v>
      </c>
      <c r="O16" s="235"/>
      <c r="P16" s="234"/>
      <c r="Q16" s="187">
        <f>+P16+O16+N16</f>
        <v>625</v>
      </c>
      <c r="R16" s="183">
        <f>+Q16+J16+F16</f>
        <v>625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18</v>
      </c>
      <c r="L17" s="251">
        <f>606+20</f>
        <v>626</v>
      </c>
      <c r="M17" s="252"/>
      <c r="N17" s="256">
        <f t="shared" ref="N17:N46" si="2">+K17+L17+M17</f>
        <v>644</v>
      </c>
      <c r="O17" s="213"/>
      <c r="P17" s="214"/>
      <c r="Q17" s="187">
        <f t="shared" ref="Q17:Q46" si="3">+P17+O17+N17</f>
        <v>644</v>
      </c>
      <c r="R17" s="183">
        <f t="shared" ref="R17:R46" si="4">+Q17+J17+F17</f>
        <v>644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18</v>
      </c>
      <c r="L20" s="251">
        <v>661</v>
      </c>
      <c r="M20" s="252"/>
      <c r="N20" s="256">
        <f t="shared" si="2"/>
        <v>679</v>
      </c>
      <c r="O20" s="213"/>
      <c r="P20" s="214"/>
      <c r="Q20" s="187">
        <f t="shared" si="3"/>
        <v>679</v>
      </c>
      <c r="R20" s="183">
        <f t="shared" si="4"/>
        <v>679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18</v>
      </c>
      <c r="L21" s="251">
        <v>589</v>
      </c>
      <c r="M21" s="252"/>
      <c r="N21" s="256">
        <f t="shared" si="2"/>
        <v>607</v>
      </c>
      <c r="O21" s="213"/>
      <c r="P21" s="214"/>
      <c r="Q21" s="187">
        <f t="shared" si="3"/>
        <v>607</v>
      </c>
      <c r="R21" s="183">
        <f t="shared" si="4"/>
        <v>607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18</v>
      </c>
      <c r="L22" s="251">
        <v>607</v>
      </c>
      <c r="M22" s="252"/>
      <c r="N22" s="256">
        <f t="shared" si="2"/>
        <v>625</v>
      </c>
      <c r="O22" s="213"/>
      <c r="P22" s="214"/>
      <c r="Q22" s="187">
        <f t="shared" si="3"/>
        <v>625</v>
      </c>
      <c r="R22" s="183">
        <f t="shared" si="4"/>
        <v>625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18</v>
      </c>
      <c r="L23" s="251">
        <v>594</v>
      </c>
      <c r="M23" s="252"/>
      <c r="N23" s="256">
        <f t="shared" si="2"/>
        <v>612</v>
      </c>
      <c r="O23" s="213"/>
      <c r="P23" s="214"/>
      <c r="Q23" s="187">
        <f t="shared" si="3"/>
        <v>612</v>
      </c>
      <c r="R23" s="183">
        <f t="shared" si="4"/>
        <v>612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18</v>
      </c>
      <c r="L24" s="251">
        <v>645</v>
      </c>
      <c r="M24" s="252"/>
      <c r="N24" s="256">
        <f t="shared" si="2"/>
        <v>663</v>
      </c>
      <c r="O24" s="213"/>
      <c r="P24" s="214"/>
      <c r="Q24" s="187">
        <f t="shared" si="3"/>
        <v>663</v>
      </c>
      <c r="R24" s="183">
        <f t="shared" si="4"/>
        <v>663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10</v>
      </c>
      <c r="L26" s="251">
        <v>160</v>
      </c>
      <c r="M26" s="252"/>
      <c r="N26" s="256">
        <f t="shared" si="2"/>
        <v>170</v>
      </c>
      <c r="O26" s="213"/>
      <c r="P26" s="214"/>
      <c r="Q26" s="187">
        <f t="shared" si="3"/>
        <v>170</v>
      </c>
      <c r="R26" s="183">
        <f t="shared" si="4"/>
        <v>170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18</v>
      </c>
      <c r="L27" s="251">
        <f>500+15</f>
        <v>515</v>
      </c>
      <c r="M27" s="252"/>
      <c r="N27" s="256">
        <f t="shared" si="2"/>
        <v>533</v>
      </c>
      <c r="O27" s="213"/>
      <c r="P27" s="214"/>
      <c r="Q27" s="187">
        <f t="shared" si="3"/>
        <v>533</v>
      </c>
      <c r="R27" s="183">
        <f t="shared" si="4"/>
        <v>533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18</v>
      </c>
      <c r="L28" s="251">
        <f>569+20</f>
        <v>589</v>
      </c>
      <c r="M28" s="252"/>
      <c r="N28" s="256">
        <f t="shared" si="2"/>
        <v>607</v>
      </c>
      <c r="O28" s="213"/>
      <c r="P28" s="214"/>
      <c r="Q28" s="187">
        <f t="shared" si="3"/>
        <v>607</v>
      </c>
      <c r="R28" s="183">
        <f t="shared" si="4"/>
        <v>607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18</v>
      </c>
      <c r="L29" s="251">
        <f>596+24</f>
        <v>620</v>
      </c>
      <c r="M29" s="252"/>
      <c r="N29" s="256">
        <f t="shared" si="2"/>
        <v>638</v>
      </c>
      <c r="O29" s="213"/>
      <c r="P29" s="214"/>
      <c r="Q29" s="187">
        <f t="shared" si="3"/>
        <v>638</v>
      </c>
      <c r="R29" s="183">
        <f t="shared" si="4"/>
        <v>638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19</v>
      </c>
      <c r="L30" s="251">
        <f>565+20</f>
        <v>585</v>
      </c>
      <c r="M30" s="252"/>
      <c r="N30" s="256">
        <f t="shared" si="2"/>
        <v>604</v>
      </c>
      <c r="O30" s="213"/>
      <c r="P30" s="214"/>
      <c r="Q30" s="187">
        <f t="shared" si="3"/>
        <v>604</v>
      </c>
      <c r="R30" s="183">
        <f t="shared" si="4"/>
        <v>604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18</v>
      </c>
      <c r="L31" s="251">
        <f>592+20</f>
        <v>612</v>
      </c>
      <c r="M31" s="252"/>
      <c r="N31" s="256">
        <f t="shared" si="2"/>
        <v>630</v>
      </c>
      <c r="O31" s="213"/>
      <c r="P31" s="214"/>
      <c r="Q31" s="187">
        <f t="shared" si="3"/>
        <v>630</v>
      </c>
      <c r="R31" s="183">
        <f t="shared" si="4"/>
        <v>630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10</v>
      </c>
      <c r="L32" s="251">
        <v>250</v>
      </c>
      <c r="M32" s="252"/>
      <c r="N32" s="256">
        <f t="shared" si="2"/>
        <v>260</v>
      </c>
      <c r="O32" s="213"/>
      <c r="P32" s="214"/>
      <c r="Q32" s="187">
        <f t="shared" si="3"/>
        <v>260</v>
      </c>
      <c r="R32" s="183">
        <f t="shared" si="4"/>
        <v>260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10</v>
      </c>
      <c r="L33" s="251">
        <f>130+250+80</f>
        <v>460</v>
      </c>
      <c r="M33" s="252"/>
      <c r="N33" s="256">
        <f t="shared" si="2"/>
        <v>470</v>
      </c>
      <c r="O33" s="213"/>
      <c r="P33" s="214"/>
      <c r="Q33" s="187">
        <f t="shared" si="3"/>
        <v>470</v>
      </c>
      <c r="R33" s="183">
        <f t="shared" si="4"/>
        <v>470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18</v>
      </c>
      <c r="L34" s="251">
        <f>455+234+13+26+585</f>
        <v>1313</v>
      </c>
      <c r="M34" s="252">
        <f>26+162+195</f>
        <v>383</v>
      </c>
      <c r="N34" s="256">
        <f t="shared" si="2"/>
        <v>1714</v>
      </c>
      <c r="O34" s="213"/>
      <c r="P34" s="214"/>
      <c r="Q34" s="187">
        <f t="shared" si="3"/>
        <v>1714</v>
      </c>
      <c r="R34" s="183">
        <f t="shared" si="4"/>
        <v>1714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18</v>
      </c>
      <c r="L35" s="251">
        <f>415+13+195+169+130+260+20</f>
        <v>1202</v>
      </c>
      <c r="M35" s="252"/>
      <c r="N35" s="256">
        <f t="shared" si="2"/>
        <v>1220</v>
      </c>
      <c r="O35" s="213"/>
      <c r="P35" s="214"/>
      <c r="Q35" s="187">
        <f t="shared" si="3"/>
        <v>1220</v>
      </c>
      <c r="R35" s="183">
        <f t="shared" si="4"/>
        <v>1220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18</v>
      </c>
      <c r="L36" s="251">
        <f>531+20+10</f>
        <v>561</v>
      </c>
      <c r="M36" s="252"/>
      <c r="N36" s="256">
        <f t="shared" si="2"/>
        <v>579</v>
      </c>
      <c r="O36" s="213"/>
      <c r="P36" s="214"/>
      <c r="Q36" s="187">
        <f t="shared" si="3"/>
        <v>579</v>
      </c>
      <c r="R36" s="183">
        <f t="shared" si="4"/>
        <v>579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18</v>
      </c>
      <c r="L37" s="251">
        <f>585+20</f>
        <v>605</v>
      </c>
      <c r="M37" s="252"/>
      <c r="N37" s="256">
        <f t="shared" si="2"/>
        <v>623</v>
      </c>
      <c r="O37" s="213"/>
      <c r="P37" s="214"/>
      <c r="Q37" s="187">
        <f t="shared" si="3"/>
        <v>623</v>
      </c>
      <c r="R37" s="183">
        <f t="shared" si="4"/>
        <v>623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18</v>
      </c>
      <c r="L38" s="251">
        <f>571+35+15</f>
        <v>621</v>
      </c>
      <c r="M38" s="252"/>
      <c r="N38" s="256">
        <f t="shared" si="2"/>
        <v>639</v>
      </c>
      <c r="O38" s="213"/>
      <c r="P38" s="214"/>
      <c r="Q38" s="187">
        <f t="shared" si="3"/>
        <v>639</v>
      </c>
      <c r="R38" s="183">
        <f t="shared" si="4"/>
        <v>639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>
        <f>100+100+100</f>
        <v>300</v>
      </c>
      <c r="J39" s="176">
        <f t="shared" si="1"/>
        <v>300</v>
      </c>
      <c r="K39" s="250">
        <v>20</v>
      </c>
      <c r="L39" s="251">
        <f>710</f>
        <v>710</v>
      </c>
      <c r="M39" s="252"/>
      <c r="N39" s="256">
        <f t="shared" si="2"/>
        <v>730</v>
      </c>
      <c r="O39" s="213"/>
      <c r="P39" s="214"/>
      <c r="Q39" s="187">
        <f t="shared" si="3"/>
        <v>730</v>
      </c>
      <c r="R39" s="183">
        <f t="shared" si="4"/>
        <v>1030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>
        <f>100+100</f>
        <v>200</v>
      </c>
      <c r="J40" s="176">
        <f t="shared" si="1"/>
        <v>200</v>
      </c>
      <c r="K40" s="250">
        <v>14</v>
      </c>
      <c r="L40" s="251">
        <v>131</v>
      </c>
      <c r="M40" s="252"/>
      <c r="N40" s="256">
        <f t="shared" si="2"/>
        <v>145</v>
      </c>
      <c r="O40" s="213"/>
      <c r="P40" s="214"/>
      <c r="Q40" s="187">
        <f t="shared" si="3"/>
        <v>145</v>
      </c>
      <c r="R40" s="183">
        <f t="shared" si="4"/>
        <v>345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18</v>
      </c>
      <c r="L41" s="251">
        <f>600+35</f>
        <v>635</v>
      </c>
      <c r="M41" s="252"/>
      <c r="N41" s="256">
        <f t="shared" si="2"/>
        <v>653</v>
      </c>
      <c r="O41" s="213"/>
      <c r="P41" s="214"/>
      <c r="Q41" s="187">
        <f t="shared" si="3"/>
        <v>653</v>
      </c>
      <c r="R41" s="183">
        <f t="shared" si="4"/>
        <v>653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18</v>
      </c>
      <c r="L42" s="251">
        <f>597+20</f>
        <v>617</v>
      </c>
      <c r="M42" s="252"/>
      <c r="N42" s="256">
        <f t="shared" si="2"/>
        <v>635</v>
      </c>
      <c r="O42" s="213"/>
      <c r="P42" s="214"/>
      <c r="Q42" s="187">
        <f t="shared" si="3"/>
        <v>635</v>
      </c>
      <c r="R42" s="183">
        <f t="shared" si="4"/>
        <v>635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18</v>
      </c>
      <c r="L43" s="251">
        <f>578+20</f>
        <v>598</v>
      </c>
      <c r="M43" s="252"/>
      <c r="N43" s="256">
        <f t="shared" si="2"/>
        <v>616</v>
      </c>
      <c r="O43" s="213"/>
      <c r="P43" s="214"/>
      <c r="Q43" s="187">
        <f t="shared" si="3"/>
        <v>616</v>
      </c>
      <c r="R43" s="183">
        <f t="shared" si="4"/>
        <v>616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18</v>
      </c>
      <c r="L44" s="251">
        <f>600+20</f>
        <v>620</v>
      </c>
      <c r="M44" s="252"/>
      <c r="N44" s="256">
        <f t="shared" si="2"/>
        <v>638</v>
      </c>
      <c r="O44" s="213"/>
      <c r="P44" s="214"/>
      <c r="Q44" s="187">
        <f t="shared" si="3"/>
        <v>638</v>
      </c>
      <c r="R44" s="183">
        <f t="shared" si="4"/>
        <v>638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18</v>
      </c>
      <c r="L45" s="251">
        <f>607+21</f>
        <v>628</v>
      </c>
      <c r="M45" s="252"/>
      <c r="N45" s="256">
        <f t="shared" si="2"/>
        <v>646</v>
      </c>
      <c r="O45" s="213"/>
      <c r="P45" s="214"/>
      <c r="Q45" s="187">
        <f t="shared" si="3"/>
        <v>646</v>
      </c>
      <c r="R45" s="183">
        <f t="shared" si="4"/>
        <v>646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500</v>
      </c>
      <c r="J48" s="175">
        <f>SUM(J16:J46)</f>
        <v>500</v>
      </c>
      <c r="K48" s="261">
        <f t="shared" si="5"/>
        <v>461</v>
      </c>
      <c r="L48" s="259">
        <f t="shared" si="5"/>
        <v>16361</v>
      </c>
      <c r="M48" s="260">
        <f t="shared" si="5"/>
        <v>383</v>
      </c>
      <c r="N48" s="258">
        <f>SUM(N16:N46)</f>
        <v>17205</v>
      </c>
      <c r="O48" s="195">
        <f t="shared" si="5"/>
        <v>0</v>
      </c>
      <c r="P48" s="195">
        <f t="shared" si="5"/>
        <v>0</v>
      </c>
      <c r="Q48" s="194">
        <f>SUM(Q16:Q46)</f>
        <v>17205</v>
      </c>
      <c r="R48" s="185">
        <f>SUM(R16:R46)</f>
        <v>17705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17705</v>
      </c>
    </row>
    <row r="51" spans="2:18" x14ac:dyDescent="0.3">
      <c r="K51" s="215">
        <f>SUM(K16:K46)</f>
        <v>461</v>
      </c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1" zoomScale="76" zoomScaleNormal="76" workbookViewId="0">
      <selection activeCell="O37" sqref="O37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203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06"/>
      <c r="H14" s="307" t="s">
        <v>29</v>
      </c>
      <c r="I14" s="307"/>
      <c r="J14" s="308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23</v>
      </c>
      <c r="L16" s="251">
        <f>472+15+100+100+150+600+150+150+100+50+20+50+150+75+75+100+100+200+250+80+20</f>
        <v>3007</v>
      </c>
      <c r="M16" s="252"/>
      <c r="N16" s="256">
        <f>+K16+L16+M16</f>
        <v>3030</v>
      </c>
      <c r="O16" s="235"/>
      <c r="P16" s="234"/>
      <c r="Q16" s="187">
        <f>+P16+O16+N16</f>
        <v>3030</v>
      </c>
      <c r="R16" s="183">
        <f>+Q16+J16+F16</f>
        <v>3030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23</v>
      </c>
      <c r="L17" s="251">
        <f>150+150+75+75+100+100+200+80+250+524+18+100+150+600+150+125+100+50+20+150</f>
        <v>3167</v>
      </c>
      <c r="M17" s="252"/>
      <c r="N17" s="256">
        <f t="shared" ref="N17:N46" si="2">+K17+L17+M17</f>
        <v>3190</v>
      </c>
      <c r="O17" s="213"/>
      <c r="P17" s="214"/>
      <c r="Q17" s="187">
        <f t="shared" ref="Q17:Q46" si="3">+P17+O17+N17</f>
        <v>3190</v>
      </c>
      <c r="R17" s="183">
        <f t="shared" ref="R17:R46" si="4">+Q17+J17+F17</f>
        <v>3190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23</v>
      </c>
      <c r="L18" s="251">
        <f>782+250</f>
        <v>1032</v>
      </c>
      <c r="M18" s="252"/>
      <c r="N18" s="256">
        <f t="shared" si="2"/>
        <v>1055</v>
      </c>
      <c r="O18" s="213"/>
      <c r="P18" s="214"/>
      <c r="Q18" s="187">
        <f t="shared" si="3"/>
        <v>1055</v>
      </c>
      <c r="R18" s="183">
        <f t="shared" si="4"/>
        <v>1055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23</v>
      </c>
      <c r="L19" s="251">
        <f>745+250</f>
        <v>995</v>
      </c>
      <c r="M19" s="252"/>
      <c r="N19" s="256">
        <f t="shared" si="2"/>
        <v>1018</v>
      </c>
      <c r="O19" s="213"/>
      <c r="P19" s="214"/>
      <c r="Q19" s="187">
        <f t="shared" si="3"/>
        <v>1018</v>
      </c>
      <c r="R19" s="183">
        <f t="shared" si="4"/>
        <v>1018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23</v>
      </c>
      <c r="L20" s="251">
        <f>1017+300+75+100+100+200+75+100+100+150+150+150+20+20+250+100+50+80+35+200+50</f>
        <v>3322</v>
      </c>
      <c r="M20" s="252"/>
      <c r="N20" s="256">
        <f t="shared" si="2"/>
        <v>3345</v>
      </c>
      <c r="O20" s="213"/>
      <c r="P20" s="214"/>
      <c r="Q20" s="187">
        <f t="shared" si="3"/>
        <v>3345</v>
      </c>
      <c r="R20" s="183">
        <f t="shared" si="4"/>
        <v>3345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23</v>
      </c>
      <c r="L21" s="251">
        <f>900+100+100+150+150+100+150+40+250+200+20+50+125+75+100+75+100+50+17+80</f>
        <v>2832</v>
      </c>
      <c r="M21" s="252"/>
      <c r="N21" s="256">
        <f t="shared" si="2"/>
        <v>2855</v>
      </c>
      <c r="O21" s="213"/>
      <c r="P21" s="214"/>
      <c r="Q21" s="187">
        <f t="shared" si="3"/>
        <v>2855</v>
      </c>
      <c r="R21" s="183">
        <f t="shared" si="4"/>
        <v>2855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23</v>
      </c>
      <c r="L22" s="251">
        <f>1000+100+80+250+75+75+50+100+200+150+50+150+150+20+20+25+100+300+100</f>
        <v>2995</v>
      </c>
      <c r="M22" s="252"/>
      <c r="N22" s="256">
        <f t="shared" si="2"/>
        <v>3018</v>
      </c>
      <c r="O22" s="213"/>
      <c r="P22" s="214"/>
      <c r="Q22" s="187">
        <f t="shared" si="3"/>
        <v>3018</v>
      </c>
      <c r="R22" s="183">
        <f t="shared" si="4"/>
        <v>3018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23</v>
      </c>
      <c r="L23" s="251">
        <f>787+100+80+75+75+40+250+200+100+100+15+40+150+150+100+20+100+150+20+50</f>
        <v>2602</v>
      </c>
      <c r="M23" s="252"/>
      <c r="N23" s="256">
        <f t="shared" si="2"/>
        <v>2625</v>
      </c>
      <c r="O23" s="213"/>
      <c r="P23" s="214"/>
      <c r="Q23" s="187">
        <f t="shared" si="3"/>
        <v>2625</v>
      </c>
      <c r="R23" s="183">
        <f t="shared" si="4"/>
        <v>2625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23</v>
      </c>
      <c r="L24" s="251">
        <f>1564+100+100+150+150+75+75+300+200+100+30+40+21+20+20+100+150+250+125+80+75</f>
        <v>3725</v>
      </c>
      <c r="M24" s="252"/>
      <c r="N24" s="256">
        <f t="shared" si="2"/>
        <v>3748</v>
      </c>
      <c r="O24" s="213"/>
      <c r="P24" s="214"/>
      <c r="Q24" s="187">
        <f t="shared" si="3"/>
        <v>3748</v>
      </c>
      <c r="R24" s="183">
        <f t="shared" si="4"/>
        <v>3748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23</v>
      </c>
      <c r="L25" s="251">
        <f>800+250+100</f>
        <v>1150</v>
      </c>
      <c r="M25" s="252"/>
      <c r="N25" s="256">
        <f t="shared" si="2"/>
        <v>1173</v>
      </c>
      <c r="O25" s="213"/>
      <c r="P25" s="214"/>
      <c r="Q25" s="187">
        <f t="shared" si="3"/>
        <v>1173</v>
      </c>
      <c r="R25" s="183">
        <f t="shared" si="4"/>
        <v>1173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23</v>
      </c>
      <c r="L26" s="251">
        <f>1060+100</f>
        <v>1160</v>
      </c>
      <c r="M26" s="252"/>
      <c r="N26" s="256">
        <f t="shared" si="2"/>
        <v>1183</v>
      </c>
      <c r="O26" s="213"/>
      <c r="P26" s="214"/>
      <c r="Q26" s="187">
        <f t="shared" si="3"/>
        <v>1183</v>
      </c>
      <c r="R26" s="183">
        <f t="shared" si="4"/>
        <v>1183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23</v>
      </c>
      <c r="L27" s="251">
        <f>1000+100+100+150+150+150+200+100+250+300+50+75+75+20+20+50+100+100</f>
        <v>2990</v>
      </c>
      <c r="M27" s="252"/>
      <c r="N27" s="256">
        <f t="shared" si="2"/>
        <v>3013</v>
      </c>
      <c r="O27" s="213"/>
      <c r="P27" s="214"/>
      <c r="Q27" s="187">
        <f t="shared" si="3"/>
        <v>3013</v>
      </c>
      <c r="R27" s="183">
        <f t="shared" si="4"/>
        <v>3013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23</v>
      </c>
      <c r="L28" s="251">
        <f>1029+100+100+100+150+150+150+100+100+200+13+50+20+20+75+75+300+250+125+50+25+8</f>
        <v>3190</v>
      </c>
      <c r="M28" s="252"/>
      <c r="N28" s="256">
        <f t="shared" si="2"/>
        <v>3213</v>
      </c>
      <c r="O28" s="213"/>
      <c r="P28" s="214"/>
      <c r="Q28" s="187">
        <f t="shared" si="3"/>
        <v>3213</v>
      </c>
      <c r="R28" s="183">
        <f t="shared" si="4"/>
        <v>3213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23</v>
      </c>
      <c r="L29" s="251">
        <f>829+100+100+100+150+150+600+250+150+200+22+50+25+75+75+20+125+100+100+20+50</f>
        <v>3291</v>
      </c>
      <c r="M29" s="252"/>
      <c r="N29" s="256">
        <f t="shared" si="2"/>
        <v>3314</v>
      </c>
      <c r="O29" s="213"/>
      <c r="P29" s="214"/>
      <c r="Q29" s="187">
        <f t="shared" si="3"/>
        <v>3314</v>
      </c>
      <c r="R29" s="183">
        <f t="shared" si="4"/>
        <v>3314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23</v>
      </c>
      <c r="L30" s="251">
        <f>957+100+100+150+150+100+150+150+200+100+100+50+25+75+75+50+250+300+80+20+15+100</f>
        <v>3297</v>
      </c>
      <c r="M30" s="252"/>
      <c r="N30" s="256">
        <f t="shared" si="2"/>
        <v>3320</v>
      </c>
      <c r="O30" s="213"/>
      <c r="P30" s="214"/>
      <c r="Q30" s="187">
        <f t="shared" si="3"/>
        <v>3320</v>
      </c>
      <c r="R30" s="183">
        <f t="shared" si="4"/>
        <v>3320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23</v>
      </c>
      <c r="L31" s="251">
        <f>727+100+100+150+150+100+150+80+250+300+350+10+50+100+100+75+75+200+100+20+50+125+20</f>
        <v>3382</v>
      </c>
      <c r="M31" s="252"/>
      <c r="N31" s="256">
        <f t="shared" si="2"/>
        <v>3405</v>
      </c>
      <c r="O31" s="213"/>
      <c r="P31" s="214"/>
      <c r="Q31" s="187">
        <f t="shared" si="3"/>
        <v>3405</v>
      </c>
      <c r="R31" s="183">
        <f t="shared" si="4"/>
        <v>3405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23</v>
      </c>
      <c r="L32" s="251">
        <f>992+160+250</f>
        <v>1402</v>
      </c>
      <c r="M32" s="252"/>
      <c r="N32" s="256">
        <f t="shared" si="2"/>
        <v>1425</v>
      </c>
      <c r="O32" s="213"/>
      <c r="P32" s="214"/>
      <c r="Q32" s="187">
        <f t="shared" si="3"/>
        <v>1425</v>
      </c>
      <c r="R32" s="183">
        <f t="shared" si="4"/>
        <v>1425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23</v>
      </c>
      <c r="L33" s="251">
        <f>827+250</f>
        <v>1077</v>
      </c>
      <c r="M33" s="252"/>
      <c r="N33" s="256">
        <f t="shared" si="2"/>
        <v>1100</v>
      </c>
      <c r="O33" s="213"/>
      <c r="P33" s="214"/>
      <c r="Q33" s="187">
        <f t="shared" si="3"/>
        <v>1100</v>
      </c>
      <c r="R33" s="183">
        <f t="shared" si="4"/>
        <v>1100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23</v>
      </c>
      <c r="L34" s="251">
        <f>985+78+250+31+15+1820+260</f>
        <v>3439</v>
      </c>
      <c r="M34" s="252"/>
      <c r="N34" s="256">
        <f t="shared" si="2"/>
        <v>3462</v>
      </c>
      <c r="O34" s="213"/>
      <c r="P34" s="214"/>
      <c r="Q34" s="187">
        <f t="shared" si="3"/>
        <v>3462</v>
      </c>
      <c r="R34" s="183">
        <f t="shared" si="4"/>
        <v>3462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23</v>
      </c>
      <c r="L35" s="251">
        <f>980+15+8+195+910+100+50+8+15+130</f>
        <v>2411</v>
      </c>
      <c r="M35" s="252"/>
      <c r="N35" s="256">
        <f t="shared" si="2"/>
        <v>2434</v>
      </c>
      <c r="O35" s="213"/>
      <c r="P35" s="214"/>
      <c r="Q35" s="187">
        <f t="shared" si="3"/>
        <v>2434</v>
      </c>
      <c r="R35" s="183">
        <f t="shared" si="4"/>
        <v>2434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23</v>
      </c>
      <c r="L36" s="251">
        <f>800+100+100+200+650+75+75+100+100+15+10+50+20+80+100+150+150+50+250+150+125+20+100</f>
        <v>3470</v>
      </c>
      <c r="M36" s="252"/>
      <c r="N36" s="256">
        <f t="shared" si="2"/>
        <v>3493</v>
      </c>
      <c r="O36" s="213"/>
      <c r="P36" s="214"/>
      <c r="Q36" s="187">
        <f t="shared" si="3"/>
        <v>3493</v>
      </c>
      <c r="R36" s="183">
        <f t="shared" si="4"/>
        <v>3493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23</v>
      </c>
      <c r="L37" s="251">
        <f>1000+100+100+100+100+100+200+80+250+300+50+75+75+150+150+150+50+100+20+20+25</f>
        <v>3195</v>
      </c>
      <c r="M37" s="252"/>
      <c r="N37" s="256">
        <f t="shared" si="2"/>
        <v>3218</v>
      </c>
      <c r="O37" s="213"/>
      <c r="P37" s="214"/>
      <c r="Q37" s="187">
        <f t="shared" si="3"/>
        <v>3218</v>
      </c>
      <c r="R37" s="183">
        <f t="shared" si="4"/>
        <v>3218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23</v>
      </c>
      <c r="L38" s="251">
        <f>1000+100+100+150+150+150+200+125+300+250+13+15+75+75+20+50+80+100+100+100+25+100</f>
        <v>3278</v>
      </c>
      <c r="M38" s="252"/>
      <c r="N38" s="256">
        <f t="shared" si="2"/>
        <v>3301</v>
      </c>
      <c r="O38" s="213"/>
      <c r="P38" s="214"/>
      <c r="Q38" s="187">
        <f t="shared" si="3"/>
        <v>3301</v>
      </c>
      <c r="R38" s="183">
        <f t="shared" si="4"/>
        <v>3301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23</v>
      </c>
      <c r="L39" s="251">
        <f>850+100+150+250</f>
        <v>1350</v>
      </c>
      <c r="M39" s="252"/>
      <c r="N39" s="256">
        <f t="shared" si="2"/>
        <v>1373</v>
      </c>
      <c r="O39" s="213"/>
      <c r="P39" s="214"/>
      <c r="Q39" s="187">
        <f t="shared" si="3"/>
        <v>1373</v>
      </c>
      <c r="R39" s="183">
        <f t="shared" si="4"/>
        <v>1373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23</v>
      </c>
      <c r="L40" s="251">
        <f>955+45+400</f>
        <v>1400</v>
      </c>
      <c r="M40" s="252"/>
      <c r="N40" s="256">
        <f t="shared" si="2"/>
        <v>1423</v>
      </c>
      <c r="O40" s="213"/>
      <c r="P40" s="214"/>
      <c r="Q40" s="187">
        <f t="shared" si="3"/>
        <v>1423</v>
      </c>
      <c r="R40" s="183">
        <f t="shared" si="4"/>
        <v>1423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23</v>
      </c>
      <c r="L41" s="251">
        <f>1100+100+100+150+150+100+100+75+75+150+16+200+250+20+80+100+50+300+20+25</f>
        <v>3161</v>
      </c>
      <c r="M41" s="252"/>
      <c r="N41" s="256">
        <f t="shared" si="2"/>
        <v>3184</v>
      </c>
      <c r="O41" s="213"/>
      <c r="P41" s="214"/>
      <c r="Q41" s="187">
        <f t="shared" si="3"/>
        <v>3184</v>
      </c>
      <c r="R41" s="183">
        <f t="shared" si="4"/>
        <v>3184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23</v>
      </c>
      <c r="L42" s="251">
        <f>1100+100+100+125+150+150+100+100+200+100+25+14+50+75+75+150+400+250+20+20+80+100+40</f>
        <v>3524</v>
      </c>
      <c r="M42" s="252"/>
      <c r="N42" s="256">
        <f t="shared" si="2"/>
        <v>3547</v>
      </c>
      <c r="O42" s="213"/>
      <c r="P42" s="214"/>
      <c r="Q42" s="187">
        <f t="shared" si="3"/>
        <v>3547</v>
      </c>
      <c r="R42" s="183">
        <f t="shared" si="4"/>
        <v>3547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23</v>
      </c>
      <c r="L43" s="251">
        <f>1000+100+150+150+200+250+100+150+125+60+50+75+75+20+80+50+20+100+25+100+100+14</f>
        <v>2994</v>
      </c>
      <c r="M43" s="252"/>
      <c r="N43" s="256">
        <f t="shared" si="2"/>
        <v>3017</v>
      </c>
      <c r="O43" s="213"/>
      <c r="P43" s="214"/>
      <c r="Q43" s="187">
        <f t="shared" si="3"/>
        <v>3017</v>
      </c>
      <c r="R43" s="183">
        <f t="shared" si="4"/>
        <v>3017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23</v>
      </c>
      <c r="L44" s="251">
        <f>1300+100+100+100+200+30+100+150+150+100+60+15+40+75+75+80+150+100+150+20+20+50+25</f>
        <v>3190</v>
      </c>
      <c r="M44" s="252"/>
      <c r="N44" s="256">
        <f t="shared" si="2"/>
        <v>3213</v>
      </c>
      <c r="O44" s="213"/>
      <c r="P44" s="214"/>
      <c r="Q44" s="187">
        <f t="shared" si="3"/>
        <v>3213</v>
      </c>
      <c r="R44" s="183">
        <f t="shared" si="4"/>
        <v>3213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23</v>
      </c>
      <c r="L45" s="251">
        <f>1082+100+125+150+150+250+100+50+80+300+15+50+75+75+100+150+100+200+100+300+20+20</f>
        <v>3592</v>
      </c>
      <c r="M45" s="252"/>
      <c r="N45" s="256">
        <f t="shared" si="2"/>
        <v>3615</v>
      </c>
      <c r="O45" s="213"/>
      <c r="P45" s="214"/>
      <c r="Q45" s="187">
        <f t="shared" si="3"/>
        <v>3615</v>
      </c>
      <c r="R45" s="183">
        <f t="shared" si="4"/>
        <v>3615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690</v>
      </c>
      <c r="L48" s="259">
        <f t="shared" si="5"/>
        <v>79620</v>
      </c>
      <c r="M48" s="260">
        <f t="shared" si="5"/>
        <v>0</v>
      </c>
      <c r="N48" s="258">
        <f>SUM(N16:N46)</f>
        <v>80310</v>
      </c>
      <c r="O48" s="195">
        <f t="shared" si="5"/>
        <v>0</v>
      </c>
      <c r="P48" s="195">
        <f t="shared" si="5"/>
        <v>0</v>
      </c>
      <c r="Q48" s="194">
        <f>SUM(Q16:Q46)</f>
        <v>80310</v>
      </c>
      <c r="R48" s="185">
        <f>SUM(R16:R46)</f>
        <v>80310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80310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B32" zoomScale="76" zoomScaleNormal="76" workbookViewId="0">
      <selection activeCell="L38" sqref="L38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100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23"/>
      <c r="H14" s="324" t="s">
        <v>29</v>
      </c>
      <c r="I14" s="324"/>
      <c r="J14" s="325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14</v>
      </c>
      <c r="L16" s="251">
        <f>1169+50+20+6+15+15+10+10+40+15+70+10+20+25</f>
        <v>1475</v>
      </c>
      <c r="M16" s="252"/>
      <c r="N16" s="256">
        <f>+K16+L16+M16</f>
        <v>1489</v>
      </c>
      <c r="O16" s="235"/>
      <c r="P16" s="234"/>
      <c r="Q16" s="187">
        <f>+P16+O16+N16</f>
        <v>1489</v>
      </c>
      <c r="R16" s="183">
        <f>+Q16+J16+F16</f>
        <v>1489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14</v>
      </c>
      <c r="L17" s="251">
        <f>1183+50+20+6+15+15+10+10+40+15+70+15+75+20</f>
        <v>1544</v>
      </c>
      <c r="M17" s="252"/>
      <c r="N17" s="256">
        <f t="shared" ref="N17:N46" si="2">+K17+L17+M17</f>
        <v>1558</v>
      </c>
      <c r="O17" s="235"/>
      <c r="P17" s="234"/>
      <c r="Q17" s="187">
        <f t="shared" ref="Q17:Q46" si="3">+P17+O17+N17</f>
        <v>1558</v>
      </c>
      <c r="R17" s="183">
        <f t="shared" ref="R17:R46" si="4">+Q17+J17+F17</f>
        <v>1558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35"/>
      <c r="P18" s="23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14</v>
      </c>
      <c r="L19" s="251">
        <f>500+250+250+10</f>
        <v>1010</v>
      </c>
      <c r="M19" s="252"/>
      <c r="N19" s="256">
        <f t="shared" si="2"/>
        <v>1024</v>
      </c>
      <c r="O19" s="235"/>
      <c r="P19" s="234"/>
      <c r="Q19" s="187">
        <f t="shared" si="3"/>
        <v>1024</v>
      </c>
      <c r="R19" s="183">
        <f t="shared" si="4"/>
        <v>1024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14</v>
      </c>
      <c r="L20" s="251">
        <f>1269+40+10+20+10+15+40+10+70</f>
        <v>1484</v>
      </c>
      <c r="M20" s="252"/>
      <c r="N20" s="256">
        <f t="shared" si="2"/>
        <v>1498</v>
      </c>
      <c r="O20" s="235"/>
      <c r="P20" s="234"/>
      <c r="Q20" s="187">
        <f t="shared" si="3"/>
        <v>1498</v>
      </c>
      <c r="R20" s="183">
        <f t="shared" si="4"/>
        <v>1498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14</v>
      </c>
      <c r="L21" s="251">
        <f>1235+50+20+15+10+15+10+10+40+20+70</f>
        <v>1495</v>
      </c>
      <c r="M21" s="252"/>
      <c r="N21" s="256">
        <f t="shared" si="2"/>
        <v>1509</v>
      </c>
      <c r="O21" s="235"/>
      <c r="P21" s="234"/>
      <c r="Q21" s="187">
        <f t="shared" si="3"/>
        <v>1509</v>
      </c>
      <c r="R21" s="183">
        <f t="shared" si="4"/>
        <v>1509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14</v>
      </c>
      <c r="L22" s="251">
        <f>1227+50+20+6+40+15+10+10+15+15+10+70</f>
        <v>1488</v>
      </c>
      <c r="M22" s="252"/>
      <c r="N22" s="256">
        <f t="shared" si="2"/>
        <v>1502</v>
      </c>
      <c r="O22" s="235"/>
      <c r="P22" s="234"/>
      <c r="Q22" s="187">
        <f t="shared" si="3"/>
        <v>1502</v>
      </c>
      <c r="R22" s="183">
        <f t="shared" si="4"/>
        <v>1502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14</v>
      </c>
      <c r="L23" s="251">
        <f>1207+50+20+6+15+15+10+10+40+15+70+15+10</f>
        <v>1483</v>
      </c>
      <c r="M23" s="252"/>
      <c r="N23" s="256">
        <f t="shared" si="2"/>
        <v>1497</v>
      </c>
      <c r="O23" s="235"/>
      <c r="P23" s="234"/>
      <c r="Q23" s="187">
        <f t="shared" si="3"/>
        <v>1497</v>
      </c>
      <c r="R23" s="183">
        <f t="shared" si="4"/>
        <v>1497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14</v>
      </c>
      <c r="L24" s="251">
        <f>1216+50+20+6+15+15+10+10+40+15+70+10</f>
        <v>1477</v>
      </c>
      <c r="M24" s="252"/>
      <c r="N24" s="256">
        <f t="shared" si="2"/>
        <v>1491</v>
      </c>
      <c r="O24" s="235"/>
      <c r="P24" s="234"/>
      <c r="Q24" s="187">
        <f t="shared" si="3"/>
        <v>1491</v>
      </c>
      <c r="R24" s="183">
        <f t="shared" si="4"/>
        <v>1491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35"/>
      <c r="P25" s="23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14</v>
      </c>
      <c r="L27" s="251">
        <f>1215+50+20+6+15+15+10+10+40+15+70+10</f>
        <v>1476</v>
      </c>
      <c r="M27" s="252"/>
      <c r="N27" s="256">
        <f t="shared" si="2"/>
        <v>1490</v>
      </c>
      <c r="O27" s="235"/>
      <c r="P27" s="234"/>
      <c r="Q27" s="187">
        <f t="shared" si="3"/>
        <v>1490</v>
      </c>
      <c r="R27" s="183">
        <f t="shared" si="4"/>
        <v>1490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14</v>
      </c>
      <c r="L28" s="251">
        <f>1120+30+1020+6+15+10+15+10+40+15+120+10+70</f>
        <v>2481</v>
      </c>
      <c r="M28" s="252"/>
      <c r="N28" s="256">
        <f t="shared" si="2"/>
        <v>2495</v>
      </c>
      <c r="O28" s="235"/>
      <c r="P28" s="234"/>
      <c r="Q28" s="187">
        <f t="shared" si="3"/>
        <v>2495</v>
      </c>
      <c r="R28" s="183">
        <f t="shared" si="4"/>
        <v>2495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14</v>
      </c>
      <c r="L29" s="251">
        <f>1130+30+1020+6+15+10+15+10+40+125+10+75</f>
        <v>2486</v>
      </c>
      <c r="M29" s="252"/>
      <c r="N29" s="256">
        <f t="shared" si="2"/>
        <v>2500</v>
      </c>
      <c r="O29" s="235"/>
      <c r="P29" s="234"/>
      <c r="Q29" s="187">
        <f t="shared" si="3"/>
        <v>2500</v>
      </c>
      <c r="R29" s="183">
        <f t="shared" si="4"/>
        <v>2500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15</v>
      </c>
      <c r="L30" s="251">
        <f>1139+35+20+6+15+10+20+10+40+15+20+10+70</f>
        <v>1410</v>
      </c>
      <c r="M30" s="252"/>
      <c r="N30" s="256">
        <f t="shared" si="2"/>
        <v>1425</v>
      </c>
      <c r="O30" s="235"/>
      <c r="P30" s="234"/>
      <c r="Q30" s="187">
        <f t="shared" si="3"/>
        <v>1425</v>
      </c>
      <c r="R30" s="183">
        <f t="shared" si="4"/>
        <v>1425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14</v>
      </c>
      <c r="L31" s="251">
        <f>970+25+20+6+10+10+15+10+25+15+10+20+50</f>
        <v>1186</v>
      </c>
      <c r="M31" s="252"/>
      <c r="N31" s="256">
        <f t="shared" si="2"/>
        <v>1200</v>
      </c>
      <c r="O31" s="235"/>
      <c r="P31" s="234"/>
      <c r="Q31" s="187">
        <f t="shared" si="3"/>
        <v>1200</v>
      </c>
      <c r="R31" s="183">
        <f t="shared" si="4"/>
        <v>1200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35"/>
      <c r="P32" s="23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35"/>
      <c r="P33" s="23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16</v>
      </c>
      <c r="L34" s="251">
        <f>1014+91+260+98+65+60+60+50+30+70+25</f>
        <v>1823</v>
      </c>
      <c r="M34" s="252"/>
      <c r="N34" s="256">
        <f t="shared" si="2"/>
        <v>1839</v>
      </c>
      <c r="O34" s="235"/>
      <c r="P34" s="234"/>
      <c r="Q34" s="187">
        <f t="shared" si="3"/>
        <v>1839</v>
      </c>
      <c r="R34" s="183">
        <f t="shared" si="4"/>
        <v>1839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15</v>
      </c>
      <c r="L35" s="251">
        <f>1322+25+20+40+20+10+15+6+30+15+70+10+10</f>
        <v>1593</v>
      </c>
      <c r="M35" s="252"/>
      <c r="N35" s="256">
        <f t="shared" si="2"/>
        <v>1608</v>
      </c>
      <c r="O35" s="235"/>
      <c r="P35" s="234"/>
      <c r="Q35" s="187">
        <f t="shared" si="3"/>
        <v>1608</v>
      </c>
      <c r="R35" s="183">
        <f t="shared" si="4"/>
        <v>1608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15</v>
      </c>
      <c r="L36" s="251">
        <f>1312+50+20+10+6+15+10+35+15+10+10+70+30</f>
        <v>1593</v>
      </c>
      <c r="M36" s="252"/>
      <c r="N36" s="256">
        <f t="shared" si="2"/>
        <v>1608</v>
      </c>
      <c r="O36" s="235"/>
      <c r="P36" s="234"/>
      <c r="Q36" s="187">
        <f t="shared" si="3"/>
        <v>1608</v>
      </c>
      <c r="R36" s="183">
        <f t="shared" si="4"/>
        <v>1608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15</v>
      </c>
      <c r="L37" s="251">
        <f>924+40+15+20+20+6+15+10+70+10+20+15+10</f>
        <v>1175</v>
      </c>
      <c r="M37" s="252"/>
      <c r="N37" s="256">
        <f t="shared" si="2"/>
        <v>1190</v>
      </c>
      <c r="O37" s="235"/>
      <c r="P37" s="234"/>
      <c r="Q37" s="187">
        <f t="shared" si="3"/>
        <v>1190</v>
      </c>
      <c r="R37" s="183">
        <f t="shared" si="4"/>
        <v>1190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15</v>
      </c>
      <c r="L38" s="251">
        <f>924+40+20+20+20+6+15+10+70+10+20+15+10+8</f>
        <v>1188</v>
      </c>
      <c r="M38" s="252"/>
      <c r="N38" s="256">
        <f t="shared" si="2"/>
        <v>1203</v>
      </c>
      <c r="O38" s="235"/>
      <c r="P38" s="234"/>
      <c r="Q38" s="187">
        <f t="shared" si="3"/>
        <v>1203</v>
      </c>
      <c r="R38" s="183">
        <f t="shared" si="4"/>
        <v>1203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35"/>
      <c r="P39" s="23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35"/>
      <c r="P40" s="23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15</v>
      </c>
      <c r="L41" s="251">
        <f>940+20+10+70+10+15+25+20+25+6+10+15+15+150</f>
        <v>1331</v>
      </c>
      <c r="M41" s="252"/>
      <c r="N41" s="256">
        <f t="shared" si="2"/>
        <v>1346</v>
      </c>
      <c r="O41" s="235"/>
      <c r="P41" s="234"/>
      <c r="Q41" s="187">
        <f t="shared" si="3"/>
        <v>1346</v>
      </c>
      <c r="R41" s="183">
        <f t="shared" si="4"/>
        <v>1346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15</v>
      </c>
      <c r="L42" s="251">
        <f>984+15+70+300+10+35+19+10+10+30+20+70+15+6</f>
        <v>1594</v>
      </c>
      <c r="M42" s="252"/>
      <c r="N42" s="256">
        <f t="shared" si="2"/>
        <v>1609</v>
      </c>
      <c r="O42" s="235"/>
      <c r="P42" s="234"/>
      <c r="Q42" s="187">
        <f t="shared" si="3"/>
        <v>1609</v>
      </c>
      <c r="R42" s="183">
        <f t="shared" si="4"/>
        <v>1609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15</v>
      </c>
      <c r="L43" s="251">
        <f>1146+16+20+160+35+30+40+10+15+15+6+18+10+300+10</f>
        <v>1831</v>
      </c>
      <c r="M43" s="252"/>
      <c r="N43" s="256">
        <f t="shared" si="2"/>
        <v>1846</v>
      </c>
      <c r="O43" s="235"/>
      <c r="P43" s="234"/>
      <c r="Q43" s="187">
        <f t="shared" si="3"/>
        <v>1846</v>
      </c>
      <c r="R43" s="183">
        <f t="shared" si="4"/>
        <v>1846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15</v>
      </c>
      <c r="L44" s="251">
        <f>1154+20+20+15+10+25+15+6+30+10+10+160+28+300+16</f>
        <v>1819</v>
      </c>
      <c r="M44" s="252"/>
      <c r="N44" s="256">
        <f t="shared" si="2"/>
        <v>1834</v>
      </c>
      <c r="O44" s="235"/>
      <c r="P44" s="234"/>
      <c r="Q44" s="187">
        <f t="shared" si="3"/>
        <v>1834</v>
      </c>
      <c r="R44" s="183">
        <f t="shared" si="4"/>
        <v>1834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15</v>
      </c>
      <c r="L45" s="251">
        <f>1038+15+20+30+10+20+6+10+10+10+70+15+25</f>
        <v>1279</v>
      </c>
      <c r="M45" s="252"/>
      <c r="N45" s="256">
        <f t="shared" si="2"/>
        <v>1294</v>
      </c>
      <c r="O45" s="235"/>
      <c r="P45" s="234"/>
      <c r="Q45" s="187">
        <f t="shared" si="3"/>
        <v>1294</v>
      </c>
      <c r="R45" s="183">
        <f t="shared" si="4"/>
        <v>1294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334</v>
      </c>
      <c r="L48" s="259">
        <f t="shared" si="5"/>
        <v>35721</v>
      </c>
      <c r="M48" s="260">
        <f t="shared" si="5"/>
        <v>0</v>
      </c>
      <c r="N48" s="258">
        <f>SUM(N16:N46)</f>
        <v>36055</v>
      </c>
      <c r="O48" s="195">
        <f t="shared" si="5"/>
        <v>0</v>
      </c>
      <c r="P48" s="195">
        <f t="shared" si="5"/>
        <v>0</v>
      </c>
      <c r="Q48" s="194">
        <f>SUM(Q16:Q46)</f>
        <v>36055</v>
      </c>
      <c r="R48" s="185">
        <f>SUM(R16:R46)</f>
        <v>36055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36055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E40" zoomScale="80" zoomScaleNormal="80" workbookViewId="0">
      <selection activeCell="L44" sqref="L4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214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>
        <v>2022</v>
      </c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30"/>
      <c r="H14" s="331" t="s">
        <v>29</v>
      </c>
      <c r="I14" s="331"/>
      <c r="J14" s="332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29</v>
      </c>
      <c r="L16" s="251">
        <f>835+12+33+5+6+5+5+30+370</f>
        <v>1301</v>
      </c>
      <c r="M16" s="252"/>
      <c r="N16" s="256">
        <f>+K16+L16+M16</f>
        <v>1330</v>
      </c>
      <c r="O16" s="235"/>
      <c r="P16" s="234"/>
      <c r="Q16" s="187">
        <f>+P16+O16+N16</f>
        <v>1330</v>
      </c>
      <c r="R16" s="183">
        <f>+Q16+J16+F16</f>
        <v>1330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29</v>
      </c>
      <c r="L17" s="251">
        <f>845+33+5+6+8+30+370</f>
        <v>1297</v>
      </c>
      <c r="M17" s="252"/>
      <c r="N17" s="256">
        <f t="shared" ref="N17:N46" si="2">+K17+L17+M17</f>
        <v>1326</v>
      </c>
      <c r="O17" s="213"/>
      <c r="P17" s="214"/>
      <c r="Q17" s="187">
        <f t="shared" ref="Q17:Q46" si="3">+P17+O17+N17</f>
        <v>1326</v>
      </c>
      <c r="R17" s="183">
        <f t="shared" ref="R17:R46" si="4">+Q17+J17+F17</f>
        <v>1326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29</v>
      </c>
      <c r="L20" s="251">
        <f>820+33+32+6+6+6+370+30</f>
        <v>1303</v>
      </c>
      <c r="M20" s="252"/>
      <c r="N20" s="256">
        <f t="shared" si="2"/>
        <v>1332</v>
      </c>
      <c r="O20" s="213"/>
      <c r="P20" s="214"/>
      <c r="Q20" s="187">
        <f t="shared" si="3"/>
        <v>1332</v>
      </c>
      <c r="R20" s="183">
        <f t="shared" si="4"/>
        <v>1332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29</v>
      </c>
      <c r="L21" s="251">
        <f>830+33+10+7+6+13+30+370</f>
        <v>1299</v>
      </c>
      <c r="M21" s="252"/>
      <c r="N21" s="256">
        <f t="shared" si="2"/>
        <v>1328</v>
      </c>
      <c r="O21" s="213"/>
      <c r="P21" s="214"/>
      <c r="Q21" s="187">
        <f t="shared" si="3"/>
        <v>1328</v>
      </c>
      <c r="R21" s="183">
        <f t="shared" si="4"/>
        <v>1328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29</v>
      </c>
      <c r="L22" s="251">
        <f>860+20+33+6+4+4+30+370</f>
        <v>1327</v>
      </c>
      <c r="M22" s="252"/>
      <c r="N22" s="256">
        <f t="shared" si="2"/>
        <v>1356</v>
      </c>
      <c r="O22" s="213"/>
      <c r="P22" s="214"/>
      <c r="Q22" s="187">
        <f t="shared" si="3"/>
        <v>1356</v>
      </c>
      <c r="R22" s="183">
        <f t="shared" si="4"/>
        <v>1356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29</v>
      </c>
      <c r="L23" s="251">
        <f>920+7+33+6+8+30+370</f>
        <v>1374</v>
      </c>
      <c r="M23" s="252"/>
      <c r="N23" s="256">
        <f t="shared" si="2"/>
        <v>1403</v>
      </c>
      <c r="O23" s="213"/>
      <c r="P23" s="214"/>
      <c r="Q23" s="187">
        <f t="shared" si="3"/>
        <v>1403</v>
      </c>
      <c r="R23" s="183">
        <f t="shared" si="4"/>
        <v>1403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29</v>
      </c>
      <c r="L24" s="251">
        <f>840+33+6+6+15+6+4+30+370+5</f>
        <v>1315</v>
      </c>
      <c r="M24" s="252"/>
      <c r="N24" s="256">
        <f t="shared" si="2"/>
        <v>1344</v>
      </c>
      <c r="O24" s="213"/>
      <c r="P24" s="214"/>
      <c r="Q24" s="187">
        <f t="shared" si="3"/>
        <v>1344</v>
      </c>
      <c r="R24" s="183">
        <f t="shared" si="4"/>
        <v>1344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29</v>
      </c>
      <c r="L27" s="251">
        <f>845+33+30+5+6+4+6+370+200</f>
        <v>1499</v>
      </c>
      <c r="M27" s="252"/>
      <c r="N27" s="256">
        <f t="shared" si="2"/>
        <v>1528</v>
      </c>
      <c r="O27" s="213"/>
      <c r="P27" s="214"/>
      <c r="Q27" s="187">
        <f t="shared" si="3"/>
        <v>1528</v>
      </c>
      <c r="R27" s="183">
        <f t="shared" si="4"/>
        <v>1528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29</v>
      </c>
      <c r="L28" s="251">
        <f>860+10+6+5+2+30+370+5+200</f>
        <v>1488</v>
      </c>
      <c r="M28" s="252"/>
      <c r="N28" s="256">
        <f t="shared" si="2"/>
        <v>1517</v>
      </c>
      <c r="O28" s="213"/>
      <c r="P28" s="214"/>
      <c r="Q28" s="187">
        <f t="shared" si="3"/>
        <v>1517</v>
      </c>
      <c r="R28" s="183">
        <f t="shared" si="4"/>
        <v>1517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29</v>
      </c>
      <c r="L29" s="251">
        <f>835+33+20+5+30+6+370+6+200</f>
        <v>1505</v>
      </c>
      <c r="M29" s="252"/>
      <c r="N29" s="256">
        <f t="shared" si="2"/>
        <v>1534</v>
      </c>
      <c r="O29" s="213"/>
      <c r="P29" s="214"/>
      <c r="Q29" s="187">
        <f t="shared" si="3"/>
        <v>1534</v>
      </c>
      <c r="R29" s="183">
        <f t="shared" si="4"/>
        <v>1534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29</v>
      </c>
      <c r="L30" s="251">
        <f>846+25+9+12+30+6+370+8+200</f>
        <v>1506</v>
      </c>
      <c r="M30" s="252"/>
      <c r="N30" s="256">
        <f t="shared" si="2"/>
        <v>1535</v>
      </c>
      <c r="O30" s="213"/>
      <c r="P30" s="214"/>
      <c r="Q30" s="187">
        <f t="shared" si="3"/>
        <v>1535</v>
      </c>
      <c r="R30" s="183">
        <f t="shared" si="4"/>
        <v>1535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29</v>
      </c>
      <c r="L31" s="251">
        <f>925+33+6+30+12+6+8+370+200</f>
        <v>1590</v>
      </c>
      <c r="M31" s="252"/>
      <c r="N31" s="256">
        <f t="shared" si="2"/>
        <v>1619</v>
      </c>
      <c r="O31" s="213"/>
      <c r="P31" s="214"/>
      <c r="Q31" s="187">
        <f t="shared" si="3"/>
        <v>1619</v>
      </c>
      <c r="R31" s="183">
        <f t="shared" si="4"/>
        <v>1619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12</v>
      </c>
      <c r="L32" s="251">
        <v>350</v>
      </c>
      <c r="M32" s="252"/>
      <c r="N32" s="256">
        <f t="shared" si="2"/>
        <v>362</v>
      </c>
      <c r="O32" s="213"/>
      <c r="P32" s="214"/>
      <c r="Q32" s="187">
        <f t="shared" si="3"/>
        <v>362</v>
      </c>
      <c r="R32" s="183">
        <f t="shared" si="4"/>
        <v>362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30</v>
      </c>
      <c r="L34" s="251">
        <f>865+30+267+370+100+100+100+100+200+15+9</f>
        <v>2156</v>
      </c>
      <c r="M34" s="252"/>
      <c r="N34" s="256">
        <f t="shared" si="2"/>
        <v>2186</v>
      </c>
      <c r="O34" s="213"/>
      <c r="P34" s="214"/>
      <c r="Q34" s="187">
        <f t="shared" si="3"/>
        <v>2186</v>
      </c>
      <c r="R34" s="183">
        <f t="shared" si="4"/>
        <v>2186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30</v>
      </c>
      <c r="L35" s="251">
        <f>997+130+370+200+30+42+100+100+14+7</f>
        <v>1990</v>
      </c>
      <c r="M35" s="252"/>
      <c r="N35" s="256">
        <f t="shared" si="2"/>
        <v>2020</v>
      </c>
      <c r="O35" s="213"/>
      <c r="P35" s="214"/>
      <c r="Q35" s="187">
        <f t="shared" si="3"/>
        <v>2020</v>
      </c>
      <c r="R35" s="183">
        <f t="shared" si="4"/>
        <v>2020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30</v>
      </c>
      <c r="L36" s="251">
        <f>998+33+30+370+100+200+100+130+11+14</f>
        <v>1986</v>
      </c>
      <c r="M36" s="252"/>
      <c r="N36" s="256">
        <f t="shared" si="2"/>
        <v>2016</v>
      </c>
      <c r="O36" s="213"/>
      <c r="P36" s="214"/>
      <c r="Q36" s="187">
        <f t="shared" si="3"/>
        <v>2016</v>
      </c>
      <c r="R36" s="183">
        <f t="shared" si="4"/>
        <v>2016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30</v>
      </c>
      <c r="L37" s="251">
        <f>945+33+20+30+370+195+200+6+12+12</f>
        <v>1823</v>
      </c>
      <c r="M37" s="252"/>
      <c r="N37" s="256">
        <f t="shared" si="2"/>
        <v>1853</v>
      </c>
      <c r="O37" s="213"/>
      <c r="P37" s="214"/>
      <c r="Q37" s="187">
        <f t="shared" si="3"/>
        <v>1853</v>
      </c>
      <c r="R37" s="183">
        <f t="shared" si="4"/>
        <v>1853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29</v>
      </c>
      <c r="L38" s="251">
        <f>820+100+57+15+200+30+370+10+10+11+130</f>
        <v>1753</v>
      </c>
      <c r="M38" s="252"/>
      <c r="N38" s="256">
        <f t="shared" si="2"/>
        <v>1782</v>
      </c>
      <c r="O38" s="213"/>
      <c r="P38" s="214"/>
      <c r="Q38" s="187">
        <f t="shared" si="3"/>
        <v>1782</v>
      </c>
      <c r="R38" s="183">
        <f t="shared" si="4"/>
        <v>1782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9</v>
      </c>
      <c r="L39" s="251">
        <v>250</v>
      </c>
      <c r="M39" s="252"/>
      <c r="N39" s="256">
        <f t="shared" si="2"/>
        <v>259</v>
      </c>
      <c r="O39" s="213"/>
      <c r="P39" s="214"/>
      <c r="Q39" s="187">
        <f t="shared" si="3"/>
        <v>259</v>
      </c>
      <c r="R39" s="183">
        <f t="shared" si="4"/>
        <v>259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30</v>
      </c>
      <c r="L41" s="251">
        <f>905+33+10+8+30+370+50+11+6+200</f>
        <v>1623</v>
      </c>
      <c r="M41" s="252"/>
      <c r="N41" s="256">
        <f t="shared" si="2"/>
        <v>1653</v>
      </c>
      <c r="O41" s="213"/>
      <c r="P41" s="214"/>
      <c r="Q41" s="187">
        <f t="shared" si="3"/>
        <v>1653</v>
      </c>
      <c r="R41" s="183">
        <f t="shared" si="4"/>
        <v>1653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30</v>
      </c>
      <c r="L42" s="251">
        <f>960+16+33+30+5+10+11+200+370+8</f>
        <v>1643</v>
      </c>
      <c r="M42" s="252"/>
      <c r="N42" s="256">
        <f t="shared" si="2"/>
        <v>1673</v>
      </c>
      <c r="O42" s="213"/>
      <c r="P42" s="214"/>
      <c r="Q42" s="187">
        <f t="shared" si="3"/>
        <v>1673</v>
      </c>
      <c r="R42" s="183">
        <f t="shared" si="4"/>
        <v>1673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30</v>
      </c>
      <c r="L43" s="251">
        <f>835+15+33+30+5+4+370+200+100</f>
        <v>1592</v>
      </c>
      <c r="M43" s="252"/>
      <c r="N43" s="256">
        <f t="shared" si="2"/>
        <v>1622</v>
      </c>
      <c r="O43" s="213"/>
      <c r="P43" s="214"/>
      <c r="Q43" s="187">
        <f t="shared" si="3"/>
        <v>1622</v>
      </c>
      <c r="R43" s="183">
        <f t="shared" si="4"/>
        <v>1622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30</v>
      </c>
      <c r="L44" s="251">
        <f>950+33+14+30+200+16+370+21+6+40</f>
        <v>1680</v>
      </c>
      <c r="M44" s="252"/>
      <c r="N44" s="256">
        <f t="shared" si="2"/>
        <v>1710</v>
      </c>
      <c r="O44" s="213"/>
      <c r="P44" s="214"/>
      <c r="Q44" s="187">
        <f t="shared" si="3"/>
        <v>1710</v>
      </c>
      <c r="R44" s="183">
        <f t="shared" si="4"/>
        <v>1710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30</v>
      </c>
      <c r="L45" s="251">
        <f>925+33+11+6+30+200+370+6+50</f>
        <v>1631</v>
      </c>
      <c r="M45" s="252"/>
      <c r="N45" s="256">
        <f t="shared" si="2"/>
        <v>1661</v>
      </c>
      <c r="O45" s="213"/>
      <c r="P45" s="214"/>
      <c r="Q45" s="187">
        <f t="shared" si="3"/>
        <v>1661</v>
      </c>
      <c r="R45" s="183">
        <f t="shared" si="4"/>
        <v>1661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668</v>
      </c>
      <c r="L48" s="259">
        <f t="shared" si="5"/>
        <v>35281</v>
      </c>
      <c r="M48" s="260">
        <f t="shared" si="5"/>
        <v>0</v>
      </c>
      <c r="N48" s="258">
        <f>SUM(N16:N46)</f>
        <v>35949</v>
      </c>
      <c r="O48" s="195">
        <f t="shared" si="5"/>
        <v>0</v>
      </c>
      <c r="P48" s="195">
        <f t="shared" si="5"/>
        <v>0</v>
      </c>
      <c r="Q48" s="194">
        <f>SUM(Q16:Q46)</f>
        <v>35949</v>
      </c>
      <c r="R48" s="185">
        <f>SUM(R16:R46)</f>
        <v>35949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35949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5" zoomScale="73" zoomScaleNormal="73" workbookViewId="0">
      <selection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206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15"/>
      <c r="H14" s="316" t="s">
        <v>29</v>
      </c>
      <c r="I14" s="316"/>
      <c r="J14" s="317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10</v>
      </c>
      <c r="L16" s="251">
        <v>340</v>
      </c>
      <c r="M16" s="252"/>
      <c r="N16" s="256">
        <f>+K16+L16+M16</f>
        <v>350</v>
      </c>
      <c r="O16" s="235"/>
      <c r="P16" s="234"/>
      <c r="Q16" s="187">
        <f>+P16+O16+N16</f>
        <v>350</v>
      </c>
      <c r="R16" s="183">
        <f>+Q16+J16+F16</f>
        <v>350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10</v>
      </c>
      <c r="L17" s="251">
        <v>336</v>
      </c>
      <c r="M17" s="252"/>
      <c r="N17" s="256">
        <f t="shared" ref="N17:N46" si="2">+K17+L17+M17</f>
        <v>346</v>
      </c>
      <c r="O17" s="213"/>
      <c r="P17" s="214"/>
      <c r="Q17" s="187">
        <f t="shared" ref="Q17:Q46" si="3">+P17+O17+N17</f>
        <v>346</v>
      </c>
      <c r="R17" s="183">
        <f t="shared" ref="R17:R46" si="4">+Q17+J17+F17</f>
        <v>346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10</v>
      </c>
      <c r="L20" s="251">
        <v>347</v>
      </c>
      <c r="M20" s="252"/>
      <c r="N20" s="256">
        <f t="shared" si="2"/>
        <v>357</v>
      </c>
      <c r="O20" s="213"/>
      <c r="P20" s="214"/>
      <c r="Q20" s="187">
        <f t="shared" si="3"/>
        <v>357</v>
      </c>
      <c r="R20" s="183">
        <f t="shared" si="4"/>
        <v>357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10</v>
      </c>
      <c r="L21" s="251">
        <v>350</v>
      </c>
      <c r="M21" s="252"/>
      <c r="N21" s="256">
        <f t="shared" si="2"/>
        <v>360</v>
      </c>
      <c r="O21" s="213"/>
      <c r="P21" s="214"/>
      <c r="Q21" s="187">
        <f t="shared" si="3"/>
        <v>360</v>
      </c>
      <c r="R21" s="183">
        <f t="shared" si="4"/>
        <v>360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10</v>
      </c>
      <c r="L22" s="251">
        <v>339</v>
      </c>
      <c r="M22" s="252"/>
      <c r="N22" s="256">
        <f t="shared" si="2"/>
        <v>349</v>
      </c>
      <c r="O22" s="213"/>
      <c r="P22" s="214"/>
      <c r="Q22" s="187">
        <f t="shared" si="3"/>
        <v>349</v>
      </c>
      <c r="R22" s="183">
        <f t="shared" si="4"/>
        <v>349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10</v>
      </c>
      <c r="L23" s="251">
        <v>341</v>
      </c>
      <c r="M23" s="252"/>
      <c r="N23" s="256">
        <f t="shared" si="2"/>
        <v>351</v>
      </c>
      <c r="O23" s="213"/>
      <c r="P23" s="214"/>
      <c r="Q23" s="187">
        <f t="shared" si="3"/>
        <v>351</v>
      </c>
      <c r="R23" s="183">
        <f t="shared" si="4"/>
        <v>351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10</v>
      </c>
      <c r="L24" s="251">
        <v>346</v>
      </c>
      <c r="M24" s="252"/>
      <c r="N24" s="256">
        <f t="shared" si="2"/>
        <v>356</v>
      </c>
      <c r="O24" s="213"/>
      <c r="P24" s="214"/>
      <c r="Q24" s="187">
        <f t="shared" si="3"/>
        <v>356</v>
      </c>
      <c r="R24" s="183">
        <f t="shared" si="4"/>
        <v>356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10</v>
      </c>
      <c r="L27" s="251">
        <v>342</v>
      </c>
      <c r="M27" s="252"/>
      <c r="N27" s="256">
        <f t="shared" si="2"/>
        <v>352</v>
      </c>
      <c r="O27" s="213"/>
      <c r="P27" s="214"/>
      <c r="Q27" s="187">
        <f t="shared" si="3"/>
        <v>352</v>
      </c>
      <c r="R27" s="183">
        <f t="shared" si="4"/>
        <v>352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10</v>
      </c>
      <c r="L28" s="251">
        <v>337</v>
      </c>
      <c r="M28" s="252"/>
      <c r="N28" s="256">
        <f t="shared" si="2"/>
        <v>347</v>
      </c>
      <c r="O28" s="213"/>
      <c r="P28" s="214"/>
      <c r="Q28" s="187">
        <f t="shared" si="3"/>
        <v>347</v>
      </c>
      <c r="R28" s="183">
        <f t="shared" si="4"/>
        <v>347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10</v>
      </c>
      <c r="L29" s="251">
        <v>344</v>
      </c>
      <c r="M29" s="252"/>
      <c r="N29" s="256">
        <f t="shared" si="2"/>
        <v>354</v>
      </c>
      <c r="O29" s="213"/>
      <c r="P29" s="214"/>
      <c r="Q29" s="187">
        <f t="shared" si="3"/>
        <v>354</v>
      </c>
      <c r="R29" s="183">
        <f t="shared" si="4"/>
        <v>354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10</v>
      </c>
      <c r="L30" s="251">
        <v>350</v>
      </c>
      <c r="M30" s="252"/>
      <c r="N30" s="256">
        <f t="shared" si="2"/>
        <v>360</v>
      </c>
      <c r="O30" s="213"/>
      <c r="P30" s="214"/>
      <c r="Q30" s="187">
        <f t="shared" si="3"/>
        <v>360</v>
      </c>
      <c r="R30" s="183">
        <f t="shared" si="4"/>
        <v>360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10</v>
      </c>
      <c r="L31" s="251">
        <v>341</v>
      </c>
      <c r="M31" s="252"/>
      <c r="N31" s="256">
        <f t="shared" si="2"/>
        <v>351</v>
      </c>
      <c r="O31" s="213"/>
      <c r="P31" s="214"/>
      <c r="Q31" s="187">
        <f t="shared" si="3"/>
        <v>351</v>
      </c>
      <c r="R31" s="183">
        <f t="shared" si="4"/>
        <v>351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10</v>
      </c>
      <c r="L34" s="251">
        <v>350</v>
      </c>
      <c r="M34" s="252"/>
      <c r="N34" s="256">
        <f t="shared" si="2"/>
        <v>360</v>
      </c>
      <c r="O34" s="213"/>
      <c r="P34" s="214"/>
      <c r="Q34" s="187">
        <f t="shared" si="3"/>
        <v>360</v>
      </c>
      <c r="R34" s="183">
        <f t="shared" si="4"/>
        <v>360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10</v>
      </c>
      <c r="L35" s="251">
        <v>340</v>
      </c>
      <c r="M35" s="252"/>
      <c r="N35" s="256">
        <f t="shared" si="2"/>
        <v>350</v>
      </c>
      <c r="O35" s="213"/>
      <c r="P35" s="214"/>
      <c r="Q35" s="187">
        <f t="shared" si="3"/>
        <v>350</v>
      </c>
      <c r="R35" s="183">
        <f t="shared" si="4"/>
        <v>350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10</v>
      </c>
      <c r="L36" s="251">
        <v>342</v>
      </c>
      <c r="M36" s="252"/>
      <c r="N36" s="256">
        <f t="shared" si="2"/>
        <v>352</v>
      </c>
      <c r="O36" s="213"/>
      <c r="P36" s="214"/>
      <c r="Q36" s="187">
        <f t="shared" si="3"/>
        <v>352</v>
      </c>
      <c r="R36" s="183">
        <f t="shared" si="4"/>
        <v>352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10</v>
      </c>
      <c r="L37" s="251">
        <v>350</v>
      </c>
      <c r="M37" s="252"/>
      <c r="N37" s="256">
        <f t="shared" si="2"/>
        <v>360</v>
      </c>
      <c r="O37" s="213"/>
      <c r="P37" s="214"/>
      <c r="Q37" s="187">
        <f t="shared" si="3"/>
        <v>360</v>
      </c>
      <c r="R37" s="183">
        <f t="shared" si="4"/>
        <v>360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10</v>
      </c>
      <c r="L38" s="251">
        <v>341</v>
      </c>
      <c r="M38" s="252"/>
      <c r="N38" s="256">
        <f t="shared" si="2"/>
        <v>351</v>
      </c>
      <c r="O38" s="213"/>
      <c r="P38" s="214"/>
      <c r="Q38" s="187">
        <f t="shared" si="3"/>
        <v>351</v>
      </c>
      <c r="R38" s="183">
        <f t="shared" si="4"/>
        <v>351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10</v>
      </c>
      <c r="L41" s="251">
        <v>349</v>
      </c>
      <c r="M41" s="252"/>
      <c r="N41" s="256">
        <f t="shared" si="2"/>
        <v>359</v>
      </c>
      <c r="O41" s="213"/>
      <c r="P41" s="214"/>
      <c r="Q41" s="187">
        <f t="shared" si="3"/>
        <v>359</v>
      </c>
      <c r="R41" s="183">
        <f t="shared" si="4"/>
        <v>359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10</v>
      </c>
      <c r="L42" s="251">
        <v>331</v>
      </c>
      <c r="M42" s="252"/>
      <c r="N42" s="256">
        <f t="shared" si="2"/>
        <v>341</v>
      </c>
      <c r="O42" s="213"/>
      <c r="P42" s="214"/>
      <c r="Q42" s="187">
        <f t="shared" si="3"/>
        <v>341</v>
      </c>
      <c r="R42" s="183">
        <f t="shared" si="4"/>
        <v>341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10</v>
      </c>
      <c r="L43" s="251">
        <v>344</v>
      </c>
      <c r="M43" s="252"/>
      <c r="N43" s="256">
        <f t="shared" si="2"/>
        <v>354</v>
      </c>
      <c r="O43" s="213"/>
      <c r="P43" s="214"/>
      <c r="Q43" s="187">
        <f t="shared" si="3"/>
        <v>354</v>
      </c>
      <c r="R43" s="183">
        <f t="shared" si="4"/>
        <v>354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10</v>
      </c>
      <c r="L44" s="251">
        <v>350</v>
      </c>
      <c r="M44" s="252"/>
      <c r="N44" s="256">
        <f t="shared" si="2"/>
        <v>360</v>
      </c>
      <c r="O44" s="213"/>
      <c r="P44" s="214"/>
      <c r="Q44" s="187">
        <f t="shared" si="3"/>
        <v>360</v>
      </c>
      <c r="R44" s="183">
        <f t="shared" si="4"/>
        <v>360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10</v>
      </c>
      <c r="L45" s="251">
        <v>335</v>
      </c>
      <c r="M45" s="252"/>
      <c r="N45" s="256">
        <f t="shared" si="2"/>
        <v>345</v>
      </c>
      <c r="O45" s="213"/>
      <c r="P45" s="214"/>
      <c r="Q45" s="187">
        <f t="shared" si="3"/>
        <v>345</v>
      </c>
      <c r="R45" s="183">
        <f t="shared" si="4"/>
        <v>345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220</v>
      </c>
      <c r="L48" s="259">
        <f t="shared" si="5"/>
        <v>7545</v>
      </c>
      <c r="M48" s="260">
        <f t="shared" si="5"/>
        <v>0</v>
      </c>
      <c r="N48" s="258">
        <f>SUM(N16:N46)</f>
        <v>7765</v>
      </c>
      <c r="O48" s="195">
        <f t="shared" si="5"/>
        <v>0</v>
      </c>
      <c r="P48" s="195">
        <f t="shared" si="5"/>
        <v>0</v>
      </c>
      <c r="Q48" s="194">
        <f>SUM(Q16:Q46)</f>
        <v>7765</v>
      </c>
      <c r="R48" s="185">
        <f>SUM(R16:R46)</f>
        <v>7765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7765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4" zoomScale="66" zoomScaleNormal="66" workbookViewId="0">
      <selection activeCell="M38" sqref="M38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227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04"/>
      <c r="H14" s="405" t="s">
        <v>29</v>
      </c>
      <c r="I14" s="405"/>
      <c r="J14" s="406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25</v>
      </c>
      <c r="L16" s="251">
        <f>555+120</f>
        <v>675</v>
      </c>
      <c r="M16" s="252"/>
      <c r="N16" s="256">
        <f>+K16+L16+M16</f>
        <v>700</v>
      </c>
      <c r="O16" s="235"/>
      <c r="P16" s="234"/>
      <c r="Q16" s="187">
        <f>+P16+O16+N16</f>
        <v>700</v>
      </c>
      <c r="R16" s="183">
        <f>+Q16+J16+F16</f>
        <v>700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25</v>
      </c>
      <c r="L17" s="251">
        <f>549+128</f>
        <v>677</v>
      </c>
      <c r="M17" s="252"/>
      <c r="N17" s="256">
        <f t="shared" ref="N17:N46" si="2">+K17+L17+M17</f>
        <v>702</v>
      </c>
      <c r="O17" s="213"/>
      <c r="P17" s="214"/>
      <c r="Q17" s="187">
        <f t="shared" ref="Q17:Q46" si="3">+P17+O17+N17</f>
        <v>702</v>
      </c>
      <c r="R17" s="183">
        <f t="shared" ref="R17:R46" si="4">+Q17+J17+F17</f>
        <v>702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25</v>
      </c>
      <c r="L20" s="251">
        <f>557+116</f>
        <v>673</v>
      </c>
      <c r="M20" s="252"/>
      <c r="N20" s="256">
        <f t="shared" si="2"/>
        <v>698</v>
      </c>
      <c r="O20" s="213"/>
      <c r="P20" s="214"/>
      <c r="Q20" s="187">
        <f t="shared" si="3"/>
        <v>698</v>
      </c>
      <c r="R20" s="183">
        <f t="shared" si="4"/>
        <v>698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25</v>
      </c>
      <c r="L21" s="251">
        <f>537+146</f>
        <v>683</v>
      </c>
      <c r="M21" s="252"/>
      <c r="N21" s="256">
        <f t="shared" si="2"/>
        <v>708</v>
      </c>
      <c r="O21" s="213"/>
      <c r="P21" s="214"/>
      <c r="Q21" s="187">
        <f t="shared" si="3"/>
        <v>708</v>
      </c>
      <c r="R21" s="183">
        <f t="shared" si="4"/>
        <v>708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25</v>
      </c>
      <c r="L22" s="251">
        <f>518+162</f>
        <v>680</v>
      </c>
      <c r="M22" s="252"/>
      <c r="N22" s="256">
        <f t="shared" si="2"/>
        <v>705</v>
      </c>
      <c r="O22" s="213"/>
      <c r="P22" s="214"/>
      <c r="Q22" s="187">
        <f t="shared" si="3"/>
        <v>705</v>
      </c>
      <c r="R22" s="183">
        <f t="shared" si="4"/>
        <v>705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25</v>
      </c>
      <c r="L23" s="251">
        <f>543+216</f>
        <v>759</v>
      </c>
      <c r="M23" s="252"/>
      <c r="N23" s="256">
        <f t="shared" si="2"/>
        <v>784</v>
      </c>
      <c r="O23" s="213"/>
      <c r="P23" s="214"/>
      <c r="Q23" s="187">
        <f t="shared" si="3"/>
        <v>784</v>
      </c>
      <c r="R23" s="183">
        <f t="shared" si="4"/>
        <v>784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25</v>
      </c>
      <c r="L24" s="251">
        <f>542+218</f>
        <v>760</v>
      </c>
      <c r="M24" s="252"/>
      <c r="N24" s="256">
        <f t="shared" si="2"/>
        <v>785</v>
      </c>
      <c r="O24" s="213"/>
      <c r="P24" s="214"/>
      <c r="Q24" s="187">
        <f t="shared" si="3"/>
        <v>785</v>
      </c>
      <c r="R24" s="183">
        <f t="shared" si="4"/>
        <v>785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25</v>
      </c>
      <c r="L27" s="251">
        <f>500+186</f>
        <v>686</v>
      </c>
      <c r="M27" s="252"/>
      <c r="N27" s="256">
        <f t="shared" si="2"/>
        <v>711</v>
      </c>
      <c r="O27" s="213"/>
      <c r="P27" s="214"/>
      <c r="Q27" s="187">
        <f t="shared" si="3"/>
        <v>711</v>
      </c>
      <c r="R27" s="183">
        <f t="shared" si="4"/>
        <v>711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25</v>
      </c>
      <c r="L28" s="251">
        <f>432+139</f>
        <v>571</v>
      </c>
      <c r="M28" s="252"/>
      <c r="N28" s="256">
        <f t="shared" si="2"/>
        <v>596</v>
      </c>
      <c r="O28" s="213"/>
      <c r="P28" s="214"/>
      <c r="Q28" s="187">
        <f t="shared" si="3"/>
        <v>596</v>
      </c>
      <c r="R28" s="183">
        <f t="shared" si="4"/>
        <v>596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25</v>
      </c>
      <c r="L29" s="251">
        <f>490+189</f>
        <v>679</v>
      </c>
      <c r="M29" s="252"/>
      <c r="N29" s="256">
        <f t="shared" si="2"/>
        <v>704</v>
      </c>
      <c r="O29" s="213"/>
      <c r="P29" s="214"/>
      <c r="Q29" s="187">
        <f t="shared" si="3"/>
        <v>704</v>
      </c>
      <c r="R29" s="183">
        <f t="shared" si="4"/>
        <v>704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25</v>
      </c>
      <c r="L30" s="251">
        <f>500+125</f>
        <v>625</v>
      </c>
      <c r="M30" s="252"/>
      <c r="N30" s="256">
        <f t="shared" si="2"/>
        <v>650</v>
      </c>
      <c r="O30" s="213"/>
      <c r="P30" s="214"/>
      <c r="Q30" s="187">
        <f t="shared" si="3"/>
        <v>650</v>
      </c>
      <c r="R30" s="183">
        <f t="shared" si="4"/>
        <v>650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25</v>
      </c>
      <c r="L31" s="251">
        <f>499+130</f>
        <v>629</v>
      </c>
      <c r="M31" s="252"/>
      <c r="N31" s="256">
        <f t="shared" si="2"/>
        <v>654</v>
      </c>
      <c r="O31" s="213"/>
      <c r="P31" s="214"/>
      <c r="Q31" s="187">
        <f t="shared" si="3"/>
        <v>654</v>
      </c>
      <c r="R31" s="183">
        <f t="shared" si="4"/>
        <v>654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25</v>
      </c>
      <c r="L32" s="251">
        <f>490+150</f>
        <v>640</v>
      </c>
      <c r="M32" s="252"/>
      <c r="N32" s="256">
        <f t="shared" si="2"/>
        <v>665</v>
      </c>
      <c r="O32" s="213"/>
      <c r="P32" s="214"/>
      <c r="Q32" s="187">
        <f t="shared" si="3"/>
        <v>665</v>
      </c>
      <c r="R32" s="183">
        <f t="shared" si="4"/>
        <v>665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25</v>
      </c>
      <c r="L33" s="251">
        <f>400+120</f>
        <v>520</v>
      </c>
      <c r="M33" s="252"/>
      <c r="N33" s="256">
        <f t="shared" si="2"/>
        <v>545</v>
      </c>
      <c r="O33" s="213"/>
      <c r="P33" s="214"/>
      <c r="Q33" s="187">
        <f t="shared" si="3"/>
        <v>545</v>
      </c>
      <c r="R33" s="183">
        <f t="shared" si="4"/>
        <v>545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25</v>
      </c>
      <c r="L34" s="251">
        <f>556+187</f>
        <v>743</v>
      </c>
      <c r="M34" s="252"/>
      <c r="N34" s="256">
        <f t="shared" si="2"/>
        <v>768</v>
      </c>
      <c r="O34" s="213"/>
      <c r="P34" s="214"/>
      <c r="Q34" s="187">
        <f t="shared" si="3"/>
        <v>768</v>
      </c>
      <c r="R34" s="183">
        <f t="shared" si="4"/>
        <v>768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25</v>
      </c>
      <c r="L35" s="251">
        <f>600+86+20</f>
        <v>706</v>
      </c>
      <c r="M35" s="252"/>
      <c r="N35" s="256">
        <f t="shared" si="2"/>
        <v>731</v>
      </c>
      <c r="O35" s="213"/>
      <c r="P35" s="214"/>
      <c r="Q35" s="187">
        <f t="shared" si="3"/>
        <v>731</v>
      </c>
      <c r="R35" s="183">
        <f t="shared" si="4"/>
        <v>731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25</v>
      </c>
      <c r="L36" s="251">
        <f>550+131+13</f>
        <v>694</v>
      </c>
      <c r="M36" s="252"/>
      <c r="N36" s="256">
        <f t="shared" si="2"/>
        <v>719</v>
      </c>
      <c r="O36" s="213"/>
      <c r="P36" s="214"/>
      <c r="Q36" s="187">
        <f t="shared" si="3"/>
        <v>719</v>
      </c>
      <c r="R36" s="183">
        <f t="shared" si="4"/>
        <v>719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25</v>
      </c>
      <c r="L37" s="251">
        <f>595+155+18</f>
        <v>768</v>
      </c>
      <c r="M37" s="252"/>
      <c r="N37" s="256">
        <f t="shared" si="2"/>
        <v>793</v>
      </c>
      <c r="O37" s="213"/>
      <c r="P37" s="214"/>
      <c r="Q37" s="187">
        <f t="shared" si="3"/>
        <v>793</v>
      </c>
      <c r="R37" s="183">
        <f t="shared" si="4"/>
        <v>793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25</v>
      </c>
      <c r="L38" s="251">
        <f>590+93+20</f>
        <v>703</v>
      </c>
      <c r="M38" s="252"/>
      <c r="N38" s="256">
        <f t="shared" si="2"/>
        <v>728</v>
      </c>
      <c r="O38" s="213"/>
      <c r="P38" s="214"/>
      <c r="Q38" s="187">
        <f t="shared" si="3"/>
        <v>728</v>
      </c>
      <c r="R38" s="183">
        <f t="shared" si="4"/>
        <v>728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25</v>
      </c>
      <c r="L41" s="251">
        <f>500+161</f>
        <v>661</v>
      </c>
      <c r="M41" s="252"/>
      <c r="N41" s="256">
        <f t="shared" si="2"/>
        <v>686</v>
      </c>
      <c r="O41" s="213"/>
      <c r="P41" s="214"/>
      <c r="Q41" s="187">
        <f t="shared" si="3"/>
        <v>686</v>
      </c>
      <c r="R41" s="183">
        <f t="shared" si="4"/>
        <v>686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25</v>
      </c>
      <c r="L42" s="251">
        <f>600+167</f>
        <v>767</v>
      </c>
      <c r="M42" s="252"/>
      <c r="N42" s="256">
        <f t="shared" si="2"/>
        <v>792</v>
      </c>
      <c r="O42" s="213"/>
      <c r="P42" s="214"/>
      <c r="Q42" s="187">
        <f t="shared" si="3"/>
        <v>792</v>
      </c>
      <c r="R42" s="183">
        <f t="shared" si="4"/>
        <v>792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25</v>
      </c>
      <c r="L43" s="251">
        <f>500+228</f>
        <v>728</v>
      </c>
      <c r="M43" s="252"/>
      <c r="N43" s="256">
        <f t="shared" si="2"/>
        <v>753</v>
      </c>
      <c r="O43" s="213"/>
      <c r="P43" s="214"/>
      <c r="Q43" s="187">
        <f t="shared" si="3"/>
        <v>753</v>
      </c>
      <c r="R43" s="183">
        <f t="shared" si="4"/>
        <v>753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25</v>
      </c>
      <c r="L44" s="251">
        <f>600+169</f>
        <v>769</v>
      </c>
      <c r="M44" s="252"/>
      <c r="N44" s="256">
        <f t="shared" si="2"/>
        <v>794</v>
      </c>
      <c r="O44" s="213"/>
      <c r="P44" s="214"/>
      <c r="Q44" s="187">
        <f t="shared" si="3"/>
        <v>794</v>
      </c>
      <c r="R44" s="183">
        <f t="shared" si="4"/>
        <v>794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25</v>
      </c>
      <c r="L45" s="251">
        <f>525+226</f>
        <v>751</v>
      </c>
      <c r="M45" s="252"/>
      <c r="N45" s="256">
        <f t="shared" si="2"/>
        <v>776</v>
      </c>
      <c r="O45" s="213"/>
      <c r="P45" s="214"/>
      <c r="Q45" s="187">
        <f t="shared" si="3"/>
        <v>776</v>
      </c>
      <c r="R45" s="183">
        <f t="shared" si="4"/>
        <v>776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600</v>
      </c>
      <c r="L48" s="259">
        <f t="shared" si="5"/>
        <v>16547</v>
      </c>
      <c r="M48" s="260">
        <f t="shared" si="5"/>
        <v>0</v>
      </c>
      <c r="N48" s="258">
        <f>SUM(N16:N46)</f>
        <v>17147</v>
      </c>
      <c r="O48" s="195">
        <f t="shared" si="5"/>
        <v>0</v>
      </c>
      <c r="P48" s="195">
        <f t="shared" si="5"/>
        <v>0</v>
      </c>
      <c r="Q48" s="194">
        <f>SUM(Q16:Q46)</f>
        <v>17147</v>
      </c>
      <c r="R48" s="185">
        <f>SUM(R16:R46)</f>
        <v>17147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17147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2" zoomScale="70" zoomScaleNormal="70" workbookViewId="0">
      <selection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226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04"/>
      <c r="H14" s="405" t="s">
        <v>29</v>
      </c>
      <c r="I14" s="405"/>
      <c r="J14" s="406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8</v>
      </c>
      <c r="L16" s="251">
        <v>277</v>
      </c>
      <c r="M16" s="252"/>
      <c r="N16" s="256">
        <f>+K16+L16+M16</f>
        <v>285</v>
      </c>
      <c r="O16" s="235"/>
      <c r="P16" s="234"/>
      <c r="Q16" s="187">
        <f>+P16+O16+N16</f>
        <v>285</v>
      </c>
      <c r="R16" s="183">
        <f>+Q16+J16+F16</f>
        <v>285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8</v>
      </c>
      <c r="L17" s="251">
        <v>287</v>
      </c>
      <c r="M17" s="252"/>
      <c r="N17" s="256">
        <f t="shared" ref="N17:N46" si="2">+K17+L17+M17</f>
        <v>295</v>
      </c>
      <c r="O17" s="213"/>
      <c r="P17" s="214"/>
      <c r="Q17" s="187">
        <f t="shared" ref="Q17:Q46" si="3">+P17+O17+N17</f>
        <v>295</v>
      </c>
      <c r="R17" s="183">
        <f t="shared" ref="R17:R46" si="4">+Q17+J17+F17</f>
        <v>295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8</v>
      </c>
      <c r="L20" s="251">
        <v>287</v>
      </c>
      <c r="M20" s="252"/>
      <c r="N20" s="256">
        <f t="shared" si="2"/>
        <v>295</v>
      </c>
      <c r="O20" s="213"/>
      <c r="P20" s="214"/>
      <c r="Q20" s="187">
        <f t="shared" si="3"/>
        <v>295</v>
      </c>
      <c r="R20" s="183">
        <f t="shared" si="4"/>
        <v>295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8</v>
      </c>
      <c r="L21" s="251">
        <v>277</v>
      </c>
      <c r="M21" s="252"/>
      <c r="N21" s="256">
        <f t="shared" si="2"/>
        <v>285</v>
      </c>
      <c r="O21" s="213"/>
      <c r="P21" s="214"/>
      <c r="Q21" s="187">
        <f t="shared" si="3"/>
        <v>285</v>
      </c>
      <c r="R21" s="183">
        <f t="shared" si="4"/>
        <v>285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8</v>
      </c>
      <c r="L22" s="251">
        <v>287</v>
      </c>
      <c r="M22" s="252"/>
      <c r="N22" s="256">
        <f t="shared" si="2"/>
        <v>295</v>
      </c>
      <c r="O22" s="213"/>
      <c r="P22" s="214"/>
      <c r="Q22" s="187">
        <f t="shared" si="3"/>
        <v>295</v>
      </c>
      <c r="R22" s="183">
        <f t="shared" si="4"/>
        <v>295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8</v>
      </c>
      <c r="L23" s="251">
        <v>277</v>
      </c>
      <c r="M23" s="252"/>
      <c r="N23" s="256">
        <f t="shared" si="2"/>
        <v>285</v>
      </c>
      <c r="O23" s="213"/>
      <c r="P23" s="214"/>
      <c r="Q23" s="187">
        <f t="shared" si="3"/>
        <v>285</v>
      </c>
      <c r="R23" s="183">
        <f t="shared" si="4"/>
        <v>285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8</v>
      </c>
      <c r="L24" s="251">
        <v>287</v>
      </c>
      <c r="M24" s="252"/>
      <c r="N24" s="256">
        <f t="shared" si="2"/>
        <v>295</v>
      </c>
      <c r="O24" s="213"/>
      <c r="P24" s="214"/>
      <c r="Q24" s="187">
        <f t="shared" si="3"/>
        <v>295</v>
      </c>
      <c r="R24" s="183">
        <f t="shared" si="4"/>
        <v>295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8</v>
      </c>
      <c r="L27" s="251">
        <v>287</v>
      </c>
      <c r="M27" s="252"/>
      <c r="N27" s="256">
        <f t="shared" si="2"/>
        <v>295</v>
      </c>
      <c r="O27" s="213"/>
      <c r="P27" s="214"/>
      <c r="Q27" s="187">
        <f t="shared" si="3"/>
        <v>295</v>
      </c>
      <c r="R27" s="183">
        <f t="shared" si="4"/>
        <v>295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8</v>
      </c>
      <c r="L28" s="251">
        <v>287</v>
      </c>
      <c r="M28" s="252"/>
      <c r="N28" s="256">
        <f t="shared" si="2"/>
        <v>295</v>
      </c>
      <c r="O28" s="213"/>
      <c r="P28" s="214"/>
      <c r="Q28" s="187">
        <f t="shared" si="3"/>
        <v>295</v>
      </c>
      <c r="R28" s="183">
        <f t="shared" si="4"/>
        <v>295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8</v>
      </c>
      <c r="L29" s="251">
        <v>277</v>
      </c>
      <c r="M29" s="252"/>
      <c r="N29" s="256">
        <f t="shared" si="2"/>
        <v>285</v>
      </c>
      <c r="O29" s="213"/>
      <c r="P29" s="214"/>
      <c r="Q29" s="187">
        <f t="shared" si="3"/>
        <v>285</v>
      </c>
      <c r="R29" s="183">
        <f t="shared" si="4"/>
        <v>285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8</v>
      </c>
      <c r="L30" s="251">
        <v>292</v>
      </c>
      <c r="M30" s="252"/>
      <c r="N30" s="256">
        <f t="shared" si="2"/>
        <v>300</v>
      </c>
      <c r="O30" s="213"/>
      <c r="P30" s="214"/>
      <c r="Q30" s="187">
        <f t="shared" si="3"/>
        <v>300</v>
      </c>
      <c r="R30" s="183">
        <f t="shared" si="4"/>
        <v>300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8</v>
      </c>
      <c r="L31" s="251">
        <v>287</v>
      </c>
      <c r="M31" s="252"/>
      <c r="N31" s="256">
        <f t="shared" si="2"/>
        <v>295</v>
      </c>
      <c r="O31" s="213"/>
      <c r="P31" s="214"/>
      <c r="Q31" s="187">
        <f t="shared" si="3"/>
        <v>295</v>
      </c>
      <c r="R31" s="183">
        <f t="shared" si="4"/>
        <v>295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</v>
      </c>
      <c r="L34" s="251">
        <v>287</v>
      </c>
      <c r="M34" s="252"/>
      <c r="N34" s="256">
        <f t="shared" si="2"/>
        <v>295</v>
      </c>
      <c r="O34" s="213"/>
      <c r="P34" s="214"/>
      <c r="Q34" s="187">
        <f t="shared" si="3"/>
        <v>295</v>
      </c>
      <c r="R34" s="183">
        <f t="shared" si="4"/>
        <v>295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8</v>
      </c>
      <c r="L35" s="251">
        <v>277</v>
      </c>
      <c r="M35" s="252"/>
      <c r="N35" s="256">
        <f t="shared" si="2"/>
        <v>285</v>
      </c>
      <c r="O35" s="213"/>
      <c r="P35" s="214"/>
      <c r="Q35" s="187">
        <f t="shared" si="3"/>
        <v>285</v>
      </c>
      <c r="R35" s="183">
        <f t="shared" si="4"/>
        <v>285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8</v>
      </c>
      <c r="L36" s="251">
        <v>287</v>
      </c>
      <c r="M36" s="252"/>
      <c r="N36" s="256">
        <f t="shared" si="2"/>
        <v>295</v>
      </c>
      <c r="O36" s="213"/>
      <c r="P36" s="214"/>
      <c r="Q36" s="187">
        <f t="shared" si="3"/>
        <v>295</v>
      </c>
      <c r="R36" s="183">
        <f t="shared" si="4"/>
        <v>295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8</v>
      </c>
      <c r="L37" s="251">
        <v>272</v>
      </c>
      <c r="M37" s="252"/>
      <c r="N37" s="256">
        <f t="shared" si="2"/>
        <v>280</v>
      </c>
      <c r="O37" s="213"/>
      <c r="P37" s="214"/>
      <c r="Q37" s="187">
        <f t="shared" si="3"/>
        <v>280</v>
      </c>
      <c r="R37" s="183">
        <f t="shared" si="4"/>
        <v>280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8</v>
      </c>
      <c r="L38" s="251">
        <v>287</v>
      </c>
      <c r="M38" s="252"/>
      <c r="N38" s="256">
        <f t="shared" si="2"/>
        <v>295</v>
      </c>
      <c r="O38" s="213"/>
      <c r="P38" s="214"/>
      <c r="Q38" s="187">
        <f t="shared" si="3"/>
        <v>295</v>
      </c>
      <c r="R38" s="183">
        <f t="shared" si="4"/>
        <v>295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8</v>
      </c>
      <c r="L41" s="251">
        <v>287</v>
      </c>
      <c r="M41" s="252"/>
      <c r="N41" s="256">
        <f t="shared" si="2"/>
        <v>295</v>
      </c>
      <c r="O41" s="213"/>
      <c r="P41" s="214"/>
      <c r="Q41" s="187">
        <f t="shared" si="3"/>
        <v>295</v>
      </c>
      <c r="R41" s="183">
        <f t="shared" si="4"/>
        <v>295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8</v>
      </c>
      <c r="L42" s="251">
        <v>277</v>
      </c>
      <c r="M42" s="252"/>
      <c r="N42" s="256">
        <f t="shared" si="2"/>
        <v>285</v>
      </c>
      <c r="O42" s="213"/>
      <c r="P42" s="214"/>
      <c r="Q42" s="187">
        <f t="shared" si="3"/>
        <v>285</v>
      </c>
      <c r="R42" s="183">
        <f t="shared" si="4"/>
        <v>285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8</v>
      </c>
      <c r="L43" s="251">
        <v>287</v>
      </c>
      <c r="M43" s="252"/>
      <c r="N43" s="256">
        <f t="shared" si="2"/>
        <v>295</v>
      </c>
      <c r="O43" s="213"/>
      <c r="P43" s="214"/>
      <c r="Q43" s="187">
        <f t="shared" si="3"/>
        <v>295</v>
      </c>
      <c r="R43" s="183">
        <f t="shared" si="4"/>
        <v>295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8</v>
      </c>
      <c r="L44" s="251">
        <v>272</v>
      </c>
      <c r="M44" s="252"/>
      <c r="N44" s="256">
        <f t="shared" si="2"/>
        <v>280</v>
      </c>
      <c r="O44" s="213"/>
      <c r="P44" s="214"/>
      <c r="Q44" s="187">
        <f t="shared" si="3"/>
        <v>280</v>
      </c>
      <c r="R44" s="183">
        <f t="shared" si="4"/>
        <v>280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8</v>
      </c>
      <c r="L45" s="251">
        <v>290</v>
      </c>
      <c r="M45" s="252"/>
      <c r="N45" s="256">
        <f t="shared" si="2"/>
        <v>298</v>
      </c>
      <c r="O45" s="213"/>
      <c r="P45" s="214"/>
      <c r="Q45" s="187">
        <f t="shared" si="3"/>
        <v>298</v>
      </c>
      <c r="R45" s="183">
        <f t="shared" si="4"/>
        <v>298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176</v>
      </c>
      <c r="L48" s="259">
        <f t="shared" si="5"/>
        <v>6232</v>
      </c>
      <c r="M48" s="260">
        <f t="shared" si="5"/>
        <v>0</v>
      </c>
      <c r="N48" s="258">
        <f>SUM(N16:N46)</f>
        <v>6408</v>
      </c>
      <c r="O48" s="195">
        <f t="shared" si="5"/>
        <v>0</v>
      </c>
      <c r="P48" s="195">
        <f t="shared" si="5"/>
        <v>0</v>
      </c>
      <c r="Q48" s="194">
        <f>SUM(Q16:Q46)</f>
        <v>6408</v>
      </c>
      <c r="R48" s="185">
        <f>SUM(R16:R46)</f>
        <v>6408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6408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6" zoomScale="70" zoomScaleNormal="70" workbookViewId="0">
      <selection activeCell="L25" sqref="L2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215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334"/>
      <c r="H14" s="335" t="s">
        <v>29</v>
      </c>
      <c r="I14" s="335"/>
      <c r="J14" s="336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24</v>
      </c>
      <c r="L16" s="251">
        <f>700+250+200+50</f>
        <v>1200</v>
      </c>
      <c r="M16" s="252"/>
      <c r="N16" s="256">
        <f>+K16+L16+M16</f>
        <v>1224</v>
      </c>
      <c r="O16" s="235"/>
      <c r="P16" s="234"/>
      <c r="Q16" s="187">
        <f>+P16+O16+N16</f>
        <v>1224</v>
      </c>
      <c r="R16" s="183">
        <f>+Q16+J16+F16</f>
        <v>1224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24</v>
      </c>
      <c r="L17" s="251">
        <f>700+250+200</f>
        <v>1150</v>
      </c>
      <c r="M17" s="252"/>
      <c r="N17" s="256">
        <f t="shared" ref="N17:N46" si="2">+K17+L17+M17</f>
        <v>1174</v>
      </c>
      <c r="O17" s="213"/>
      <c r="P17" s="214"/>
      <c r="Q17" s="187">
        <f t="shared" ref="Q17:Q46" si="3">+P17+O17+N17</f>
        <v>1174</v>
      </c>
      <c r="R17" s="183">
        <f t="shared" ref="R17:R46" si="4">+Q17+J17+F17</f>
        <v>1174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24</v>
      </c>
      <c r="L20" s="251">
        <f>700+250+200</f>
        <v>1150</v>
      </c>
      <c r="M20" s="252"/>
      <c r="N20" s="256">
        <f t="shared" si="2"/>
        <v>1174</v>
      </c>
      <c r="O20" s="213"/>
      <c r="P20" s="214"/>
      <c r="Q20" s="187">
        <f t="shared" si="3"/>
        <v>1174</v>
      </c>
      <c r="R20" s="183">
        <f t="shared" si="4"/>
        <v>1174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24</v>
      </c>
      <c r="L21" s="251">
        <f>800+250+200+50</f>
        <v>1300</v>
      </c>
      <c r="M21" s="252"/>
      <c r="N21" s="256">
        <f t="shared" si="2"/>
        <v>1324</v>
      </c>
      <c r="O21" s="213"/>
      <c r="P21" s="214"/>
      <c r="Q21" s="187">
        <f t="shared" si="3"/>
        <v>1324</v>
      </c>
      <c r="R21" s="183">
        <f t="shared" si="4"/>
        <v>1324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24</v>
      </c>
      <c r="L22" s="251">
        <f>800+250+200</f>
        <v>1250</v>
      </c>
      <c r="M22" s="252"/>
      <c r="N22" s="256">
        <f t="shared" si="2"/>
        <v>1274</v>
      </c>
      <c r="O22" s="213"/>
      <c r="P22" s="214"/>
      <c r="Q22" s="187">
        <f t="shared" si="3"/>
        <v>1274</v>
      </c>
      <c r="R22" s="183">
        <f t="shared" si="4"/>
        <v>1274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24</v>
      </c>
      <c r="L23" s="251">
        <f>800+250+200+50</f>
        <v>1300</v>
      </c>
      <c r="M23" s="252"/>
      <c r="N23" s="256">
        <f t="shared" si="2"/>
        <v>1324</v>
      </c>
      <c r="O23" s="213"/>
      <c r="P23" s="214"/>
      <c r="Q23" s="187">
        <f t="shared" si="3"/>
        <v>1324</v>
      </c>
      <c r="R23" s="183">
        <f t="shared" si="4"/>
        <v>1324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24</v>
      </c>
      <c r="L24" s="251">
        <f>800+250+200</f>
        <v>1250</v>
      </c>
      <c r="M24" s="252"/>
      <c r="N24" s="256">
        <f t="shared" si="2"/>
        <v>1274</v>
      </c>
      <c r="O24" s="213"/>
      <c r="P24" s="214"/>
      <c r="Q24" s="187">
        <f t="shared" si="3"/>
        <v>1274</v>
      </c>
      <c r="R24" s="183">
        <f t="shared" si="4"/>
        <v>1274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24</v>
      </c>
      <c r="L27" s="251">
        <f>800+250+200+50</f>
        <v>1300</v>
      </c>
      <c r="M27" s="252"/>
      <c r="N27" s="256">
        <f t="shared" si="2"/>
        <v>1324</v>
      </c>
      <c r="O27" s="213"/>
      <c r="P27" s="214"/>
      <c r="Q27" s="187">
        <f t="shared" si="3"/>
        <v>1324</v>
      </c>
      <c r="R27" s="183">
        <f t="shared" si="4"/>
        <v>1324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24</v>
      </c>
      <c r="L28" s="251">
        <f>880+250+200+50</f>
        <v>1380</v>
      </c>
      <c r="M28" s="252"/>
      <c r="N28" s="256">
        <f t="shared" si="2"/>
        <v>1404</v>
      </c>
      <c r="O28" s="213"/>
      <c r="P28" s="214"/>
      <c r="Q28" s="187">
        <f t="shared" si="3"/>
        <v>1404</v>
      </c>
      <c r="R28" s="183">
        <f t="shared" si="4"/>
        <v>1404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24</v>
      </c>
      <c r="L29" s="251">
        <f>850+250+200+50</f>
        <v>1350</v>
      </c>
      <c r="M29" s="252"/>
      <c r="N29" s="256">
        <f t="shared" si="2"/>
        <v>1374</v>
      </c>
      <c r="O29" s="213"/>
      <c r="P29" s="214"/>
      <c r="Q29" s="187">
        <f t="shared" si="3"/>
        <v>1374</v>
      </c>
      <c r="R29" s="183">
        <f t="shared" si="4"/>
        <v>1374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24</v>
      </c>
      <c r="L30" s="251">
        <f>950+250+200</f>
        <v>1400</v>
      </c>
      <c r="M30" s="252"/>
      <c r="N30" s="256">
        <f t="shared" si="2"/>
        <v>1424</v>
      </c>
      <c r="O30" s="213"/>
      <c r="P30" s="214"/>
      <c r="Q30" s="187">
        <f t="shared" si="3"/>
        <v>1424</v>
      </c>
      <c r="R30" s="183">
        <f t="shared" si="4"/>
        <v>1424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24</v>
      </c>
      <c r="L31" s="251">
        <f>900+250+200+50</f>
        <v>1400</v>
      </c>
      <c r="M31" s="252"/>
      <c r="N31" s="256">
        <f t="shared" si="2"/>
        <v>1424</v>
      </c>
      <c r="O31" s="213"/>
      <c r="P31" s="214"/>
      <c r="Q31" s="187">
        <f t="shared" si="3"/>
        <v>1424</v>
      </c>
      <c r="R31" s="183">
        <f t="shared" si="4"/>
        <v>1424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24</v>
      </c>
      <c r="L34" s="251">
        <f>1050+250+200</f>
        <v>1500</v>
      </c>
      <c r="M34" s="252"/>
      <c r="N34" s="256">
        <f t="shared" si="2"/>
        <v>1524</v>
      </c>
      <c r="O34" s="213"/>
      <c r="P34" s="214"/>
      <c r="Q34" s="187">
        <f t="shared" si="3"/>
        <v>1524</v>
      </c>
      <c r="R34" s="183">
        <f t="shared" si="4"/>
        <v>1524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24</v>
      </c>
      <c r="L35" s="251">
        <f>950+250+200+50</f>
        <v>1450</v>
      </c>
      <c r="M35" s="252"/>
      <c r="N35" s="256">
        <f t="shared" si="2"/>
        <v>1474</v>
      </c>
      <c r="O35" s="213"/>
      <c r="P35" s="214"/>
      <c r="Q35" s="187">
        <f t="shared" si="3"/>
        <v>1474</v>
      </c>
      <c r="R35" s="183">
        <f t="shared" si="4"/>
        <v>1474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20</v>
      </c>
      <c r="L36" s="251">
        <f>970+250+200+50</f>
        <v>1470</v>
      </c>
      <c r="M36" s="252"/>
      <c r="N36" s="256">
        <f t="shared" si="2"/>
        <v>1490</v>
      </c>
      <c r="O36" s="213"/>
      <c r="P36" s="214"/>
      <c r="Q36" s="187">
        <f t="shared" si="3"/>
        <v>1490</v>
      </c>
      <c r="R36" s="183">
        <f t="shared" si="4"/>
        <v>1490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24</v>
      </c>
      <c r="L37" s="251">
        <f>970+250+200+50</f>
        <v>1470</v>
      </c>
      <c r="M37" s="252"/>
      <c r="N37" s="256">
        <f t="shared" si="2"/>
        <v>1494</v>
      </c>
      <c r="O37" s="213"/>
      <c r="P37" s="214"/>
      <c r="Q37" s="187">
        <f t="shared" si="3"/>
        <v>1494</v>
      </c>
      <c r="R37" s="183">
        <f t="shared" si="4"/>
        <v>1494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20</v>
      </c>
      <c r="L38" s="251">
        <f>940+250+200+50</f>
        <v>1440</v>
      </c>
      <c r="M38" s="252"/>
      <c r="N38" s="256">
        <f t="shared" si="2"/>
        <v>1460</v>
      </c>
      <c r="O38" s="213"/>
      <c r="P38" s="214"/>
      <c r="Q38" s="187">
        <f t="shared" si="3"/>
        <v>1460</v>
      </c>
      <c r="R38" s="183">
        <f t="shared" si="4"/>
        <v>1460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8</v>
      </c>
      <c r="L39" s="251">
        <v>400</v>
      </c>
      <c r="M39" s="252"/>
      <c r="N39" s="256">
        <f t="shared" si="2"/>
        <v>408</v>
      </c>
      <c r="O39" s="213"/>
      <c r="P39" s="214"/>
      <c r="Q39" s="187">
        <f t="shared" si="3"/>
        <v>408</v>
      </c>
      <c r="R39" s="183">
        <f t="shared" si="4"/>
        <v>408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14</v>
      </c>
      <c r="L41" s="251">
        <f>950+250+200+50</f>
        <v>1450</v>
      </c>
      <c r="M41" s="252"/>
      <c r="N41" s="256">
        <f t="shared" si="2"/>
        <v>1464</v>
      </c>
      <c r="O41" s="213"/>
      <c r="P41" s="214"/>
      <c r="Q41" s="187">
        <f t="shared" si="3"/>
        <v>1464</v>
      </c>
      <c r="R41" s="183">
        <f t="shared" si="4"/>
        <v>1464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24</v>
      </c>
      <c r="L42" s="251">
        <f>950+250+200+50</f>
        <v>1450</v>
      </c>
      <c r="M42" s="252"/>
      <c r="N42" s="256">
        <f t="shared" si="2"/>
        <v>1474</v>
      </c>
      <c r="O42" s="213"/>
      <c r="P42" s="214"/>
      <c r="Q42" s="187">
        <f t="shared" si="3"/>
        <v>1474</v>
      </c>
      <c r="R42" s="183">
        <f t="shared" si="4"/>
        <v>1474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24</v>
      </c>
      <c r="L43" s="251">
        <f>950+250+200+50</f>
        <v>1450</v>
      </c>
      <c r="M43" s="252"/>
      <c r="N43" s="256">
        <f t="shared" si="2"/>
        <v>1474</v>
      </c>
      <c r="O43" s="213"/>
      <c r="P43" s="214"/>
      <c r="Q43" s="187">
        <f t="shared" si="3"/>
        <v>1474</v>
      </c>
      <c r="R43" s="183">
        <f t="shared" si="4"/>
        <v>1474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24</v>
      </c>
      <c r="L44" s="251">
        <f>950+250+200+50</f>
        <v>1450</v>
      </c>
      <c r="M44" s="252"/>
      <c r="N44" s="256">
        <f t="shared" si="2"/>
        <v>1474</v>
      </c>
      <c r="O44" s="213"/>
      <c r="P44" s="214"/>
      <c r="Q44" s="187">
        <f t="shared" si="3"/>
        <v>1474</v>
      </c>
      <c r="R44" s="183">
        <f t="shared" si="4"/>
        <v>1474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20</v>
      </c>
      <c r="L45" s="251">
        <f>980+250+200+50</f>
        <v>1480</v>
      </c>
      <c r="M45" s="252"/>
      <c r="N45" s="256">
        <f t="shared" si="2"/>
        <v>1500</v>
      </c>
      <c r="O45" s="213"/>
      <c r="P45" s="214"/>
      <c r="Q45" s="187">
        <f t="shared" si="3"/>
        <v>1500</v>
      </c>
      <c r="R45" s="183">
        <f t="shared" si="4"/>
        <v>1500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514</v>
      </c>
      <c r="L48" s="259">
        <f t="shared" si="5"/>
        <v>30440</v>
      </c>
      <c r="M48" s="260">
        <f t="shared" si="5"/>
        <v>0</v>
      </c>
      <c r="N48" s="258">
        <f>SUM(N16:N46)</f>
        <v>30954</v>
      </c>
      <c r="O48" s="195">
        <f t="shared" si="5"/>
        <v>0</v>
      </c>
      <c r="P48" s="195">
        <f t="shared" si="5"/>
        <v>0</v>
      </c>
      <c r="Q48" s="194">
        <f>SUM(Q16:Q46)</f>
        <v>30954</v>
      </c>
      <c r="R48" s="185">
        <f>SUM(R16:R46)</f>
        <v>30954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30954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2" zoomScale="70" zoomScaleNormal="70" workbookViewId="0">
      <selection activeCell="L35" sqref="L3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228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04"/>
      <c r="H14" s="405" t="s">
        <v>29</v>
      </c>
      <c r="I14" s="405"/>
      <c r="J14" s="406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10</v>
      </c>
      <c r="L16" s="251">
        <f>280</f>
        <v>280</v>
      </c>
      <c r="M16" s="252"/>
      <c r="N16" s="256">
        <f>+K16+L16+M16</f>
        <v>290</v>
      </c>
      <c r="O16" s="235"/>
      <c r="P16" s="234"/>
      <c r="Q16" s="187">
        <f>+P16+O16+N16</f>
        <v>290</v>
      </c>
      <c r="R16" s="183">
        <f>+Q16+J16+F16</f>
        <v>290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12</v>
      </c>
      <c r="L17" s="251">
        <v>280</v>
      </c>
      <c r="M17" s="252"/>
      <c r="N17" s="256">
        <f t="shared" ref="N17:N46" si="2">+K17+L17+M17</f>
        <v>292</v>
      </c>
      <c r="O17" s="213"/>
      <c r="P17" s="214"/>
      <c r="Q17" s="187">
        <f t="shared" ref="Q17:Q46" si="3">+P17+O17+N17</f>
        <v>292</v>
      </c>
      <c r="R17" s="183">
        <f t="shared" ref="R17:R46" si="4">+Q17+J17+F17</f>
        <v>292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8</v>
      </c>
      <c r="L20" s="251">
        <v>277</v>
      </c>
      <c r="M20" s="252"/>
      <c r="N20" s="256">
        <f t="shared" si="2"/>
        <v>285</v>
      </c>
      <c r="O20" s="213"/>
      <c r="P20" s="214"/>
      <c r="Q20" s="187">
        <f t="shared" si="3"/>
        <v>285</v>
      </c>
      <c r="R20" s="183">
        <f t="shared" si="4"/>
        <v>285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8</v>
      </c>
      <c r="L21" s="251">
        <v>279</v>
      </c>
      <c r="M21" s="252"/>
      <c r="N21" s="256">
        <f t="shared" si="2"/>
        <v>287</v>
      </c>
      <c r="O21" s="213"/>
      <c r="P21" s="214"/>
      <c r="Q21" s="187">
        <f t="shared" si="3"/>
        <v>287</v>
      </c>
      <c r="R21" s="183">
        <f t="shared" si="4"/>
        <v>287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9</v>
      </c>
      <c r="L22" s="251">
        <v>278</v>
      </c>
      <c r="M22" s="252"/>
      <c r="N22" s="256">
        <f t="shared" si="2"/>
        <v>287</v>
      </c>
      <c r="O22" s="213"/>
      <c r="P22" s="214"/>
      <c r="Q22" s="187">
        <f t="shared" si="3"/>
        <v>287</v>
      </c>
      <c r="R22" s="183">
        <f t="shared" si="4"/>
        <v>287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8</v>
      </c>
      <c r="L23" s="251">
        <v>282</v>
      </c>
      <c r="M23" s="252"/>
      <c r="N23" s="256">
        <f t="shared" si="2"/>
        <v>290</v>
      </c>
      <c r="O23" s="213"/>
      <c r="P23" s="214"/>
      <c r="Q23" s="187">
        <f t="shared" si="3"/>
        <v>290</v>
      </c>
      <c r="R23" s="183">
        <f t="shared" si="4"/>
        <v>290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8</v>
      </c>
      <c r="L24" s="251">
        <v>277</v>
      </c>
      <c r="M24" s="252"/>
      <c r="N24" s="256">
        <f t="shared" si="2"/>
        <v>285</v>
      </c>
      <c r="O24" s="213"/>
      <c r="P24" s="214"/>
      <c r="Q24" s="187">
        <f t="shared" si="3"/>
        <v>285</v>
      </c>
      <c r="R24" s="183">
        <f t="shared" si="4"/>
        <v>285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8</v>
      </c>
      <c r="L27" s="251">
        <v>279</v>
      </c>
      <c r="M27" s="252"/>
      <c r="N27" s="256">
        <f t="shared" si="2"/>
        <v>287</v>
      </c>
      <c r="O27" s="213"/>
      <c r="P27" s="214"/>
      <c r="Q27" s="187">
        <f t="shared" si="3"/>
        <v>287</v>
      </c>
      <c r="R27" s="183">
        <f t="shared" si="4"/>
        <v>287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8</v>
      </c>
      <c r="L28" s="251">
        <v>277</v>
      </c>
      <c r="M28" s="252"/>
      <c r="N28" s="256">
        <f t="shared" si="2"/>
        <v>285</v>
      </c>
      <c r="O28" s="213"/>
      <c r="P28" s="214"/>
      <c r="Q28" s="187">
        <f t="shared" si="3"/>
        <v>285</v>
      </c>
      <c r="R28" s="183">
        <f t="shared" si="4"/>
        <v>285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8</v>
      </c>
      <c r="L29" s="251">
        <v>281</v>
      </c>
      <c r="M29" s="252"/>
      <c r="N29" s="256">
        <f t="shared" si="2"/>
        <v>289</v>
      </c>
      <c r="O29" s="213"/>
      <c r="P29" s="214"/>
      <c r="Q29" s="187">
        <f t="shared" si="3"/>
        <v>289</v>
      </c>
      <c r="R29" s="183">
        <f t="shared" si="4"/>
        <v>289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8</v>
      </c>
      <c r="L30" s="251">
        <v>282</v>
      </c>
      <c r="M30" s="252"/>
      <c r="N30" s="256">
        <f t="shared" si="2"/>
        <v>290</v>
      </c>
      <c r="O30" s="213"/>
      <c r="P30" s="214"/>
      <c r="Q30" s="187">
        <f t="shared" si="3"/>
        <v>290</v>
      </c>
      <c r="R30" s="183">
        <f t="shared" si="4"/>
        <v>290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8</v>
      </c>
      <c r="L31" s="251">
        <v>279</v>
      </c>
      <c r="M31" s="252"/>
      <c r="N31" s="256">
        <f t="shared" si="2"/>
        <v>287</v>
      </c>
      <c r="O31" s="213"/>
      <c r="P31" s="214"/>
      <c r="Q31" s="187">
        <f t="shared" si="3"/>
        <v>287</v>
      </c>
      <c r="R31" s="183">
        <f t="shared" si="4"/>
        <v>287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</v>
      </c>
      <c r="L34" s="251">
        <v>279</v>
      </c>
      <c r="M34" s="252"/>
      <c r="N34" s="256">
        <f t="shared" si="2"/>
        <v>287</v>
      </c>
      <c r="O34" s="213"/>
      <c r="P34" s="214"/>
      <c r="Q34" s="187">
        <f t="shared" si="3"/>
        <v>287</v>
      </c>
      <c r="R34" s="183">
        <f t="shared" si="4"/>
        <v>287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8</v>
      </c>
      <c r="L35" s="251">
        <v>282</v>
      </c>
      <c r="M35" s="252"/>
      <c r="N35" s="256">
        <f t="shared" si="2"/>
        <v>290</v>
      </c>
      <c r="O35" s="213"/>
      <c r="P35" s="214"/>
      <c r="Q35" s="187">
        <f t="shared" si="3"/>
        <v>290</v>
      </c>
      <c r="R35" s="183">
        <f t="shared" si="4"/>
        <v>290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8</v>
      </c>
      <c r="L36" s="251">
        <v>279</v>
      </c>
      <c r="M36" s="252"/>
      <c r="N36" s="256">
        <f t="shared" si="2"/>
        <v>287</v>
      </c>
      <c r="O36" s="213"/>
      <c r="P36" s="214"/>
      <c r="Q36" s="187">
        <f t="shared" si="3"/>
        <v>287</v>
      </c>
      <c r="R36" s="183">
        <f t="shared" si="4"/>
        <v>287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11</v>
      </c>
      <c r="L37" s="251">
        <v>280</v>
      </c>
      <c r="M37" s="252"/>
      <c r="N37" s="256">
        <f t="shared" si="2"/>
        <v>291</v>
      </c>
      <c r="O37" s="213"/>
      <c r="P37" s="214"/>
      <c r="Q37" s="187">
        <f t="shared" si="3"/>
        <v>291</v>
      </c>
      <c r="R37" s="183">
        <f t="shared" si="4"/>
        <v>291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8</v>
      </c>
      <c r="L38" s="251">
        <v>277</v>
      </c>
      <c r="M38" s="252"/>
      <c r="N38" s="256">
        <f t="shared" si="2"/>
        <v>285</v>
      </c>
      <c r="O38" s="213"/>
      <c r="P38" s="214"/>
      <c r="Q38" s="187">
        <f t="shared" si="3"/>
        <v>285</v>
      </c>
      <c r="R38" s="183">
        <f t="shared" si="4"/>
        <v>285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8</v>
      </c>
      <c r="L41" s="251">
        <v>281</v>
      </c>
      <c r="M41" s="252"/>
      <c r="N41" s="256">
        <f t="shared" si="2"/>
        <v>289</v>
      </c>
      <c r="O41" s="213"/>
      <c r="P41" s="214"/>
      <c r="Q41" s="187">
        <f t="shared" si="3"/>
        <v>289</v>
      </c>
      <c r="R41" s="183">
        <f t="shared" si="4"/>
        <v>289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8</v>
      </c>
      <c r="L42" s="251">
        <v>280</v>
      </c>
      <c r="M42" s="252"/>
      <c r="N42" s="256">
        <f t="shared" si="2"/>
        <v>288</v>
      </c>
      <c r="O42" s="213"/>
      <c r="P42" s="214"/>
      <c r="Q42" s="187">
        <f t="shared" si="3"/>
        <v>288</v>
      </c>
      <c r="R42" s="183">
        <f t="shared" si="4"/>
        <v>288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8</v>
      </c>
      <c r="L43" s="251">
        <v>287</v>
      </c>
      <c r="M43" s="252"/>
      <c r="N43" s="256">
        <f t="shared" si="2"/>
        <v>295</v>
      </c>
      <c r="O43" s="213"/>
      <c r="P43" s="214"/>
      <c r="Q43" s="187">
        <f t="shared" si="3"/>
        <v>295</v>
      </c>
      <c r="R43" s="183">
        <f t="shared" si="4"/>
        <v>295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12</v>
      </c>
      <c r="L44" s="251">
        <v>283</v>
      </c>
      <c r="M44" s="252"/>
      <c r="N44" s="256">
        <f t="shared" si="2"/>
        <v>295</v>
      </c>
      <c r="O44" s="213"/>
      <c r="P44" s="214"/>
      <c r="Q44" s="187">
        <f t="shared" si="3"/>
        <v>295</v>
      </c>
      <c r="R44" s="183">
        <f t="shared" si="4"/>
        <v>295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8</v>
      </c>
      <c r="L45" s="251">
        <v>276</v>
      </c>
      <c r="M45" s="252"/>
      <c r="N45" s="256">
        <f t="shared" si="2"/>
        <v>284</v>
      </c>
      <c r="O45" s="213"/>
      <c r="P45" s="214"/>
      <c r="Q45" s="187">
        <f t="shared" si="3"/>
        <v>284</v>
      </c>
      <c r="R45" s="183">
        <f t="shared" si="4"/>
        <v>284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190</v>
      </c>
      <c r="L48" s="259">
        <f t="shared" si="5"/>
        <v>6155</v>
      </c>
      <c r="M48" s="260">
        <f t="shared" si="5"/>
        <v>0</v>
      </c>
      <c r="N48" s="258">
        <f>SUM(N16:N46)</f>
        <v>6345</v>
      </c>
      <c r="O48" s="195">
        <f t="shared" si="5"/>
        <v>0</v>
      </c>
      <c r="P48" s="195">
        <f t="shared" si="5"/>
        <v>0</v>
      </c>
      <c r="Q48" s="194">
        <f>SUM(Q16:Q46)</f>
        <v>6345</v>
      </c>
      <c r="R48" s="185">
        <f>SUM(R16:R46)</f>
        <v>6345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6345</v>
      </c>
    </row>
    <row r="51" spans="2:18" x14ac:dyDescent="0.3"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7" zoomScale="72" zoomScaleNormal="72" workbookViewId="0">
      <selection activeCell="P40" sqref="P40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14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211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46</v>
      </c>
      <c r="L16" s="251">
        <f>496+300+240+200+150+150+100+100+75+50+50+50+50+50+25+15+35+100</f>
        <v>2236</v>
      </c>
      <c r="M16" s="252"/>
      <c r="N16" s="256">
        <f>+K16+L16+M16</f>
        <v>2282</v>
      </c>
      <c r="O16" s="235"/>
      <c r="P16" s="234"/>
      <c r="Q16" s="187">
        <f>+P16+O16+N16</f>
        <v>2282</v>
      </c>
      <c r="R16" s="183">
        <f>+Q16+J16+F16</f>
        <v>2282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46</v>
      </c>
      <c r="L17" s="251">
        <f>480+300+240+200+150+100+100+100+100+75+50+50+50+50+50+50+35+25+15+50</f>
        <v>2270</v>
      </c>
      <c r="M17" s="252"/>
      <c r="N17" s="256">
        <f t="shared" ref="N17:N46" si="2">+K17+L17+M17</f>
        <v>2316</v>
      </c>
      <c r="O17" s="213"/>
      <c r="P17" s="214"/>
      <c r="Q17" s="187">
        <f t="shared" ref="Q17:Q46" si="3">+P17+O17+N17</f>
        <v>2316</v>
      </c>
      <c r="R17" s="183">
        <f t="shared" ref="R17:R46" si="4">+Q17+J17+F17</f>
        <v>2316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18</v>
      </c>
      <c r="L18" s="251">
        <f>414+50</f>
        <v>464</v>
      </c>
      <c r="M18" s="252"/>
      <c r="N18" s="256">
        <f t="shared" si="2"/>
        <v>482</v>
      </c>
      <c r="O18" s="213"/>
      <c r="P18" s="214"/>
      <c r="Q18" s="187">
        <f t="shared" si="3"/>
        <v>482</v>
      </c>
      <c r="R18" s="183">
        <f t="shared" si="4"/>
        <v>482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18</v>
      </c>
      <c r="L19" s="251">
        <v>502</v>
      </c>
      <c r="M19" s="252"/>
      <c r="N19" s="256">
        <f t="shared" si="2"/>
        <v>520</v>
      </c>
      <c r="O19" s="213"/>
      <c r="P19" s="214"/>
      <c r="Q19" s="187">
        <f t="shared" si="3"/>
        <v>520</v>
      </c>
      <c r="R19" s="183">
        <f t="shared" si="4"/>
        <v>520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46</v>
      </c>
      <c r="L20" s="251">
        <f>399+300+240+200+150+100+100+100+100+75+50+50+50+50+50+35+25+15+50+25</f>
        <v>2164</v>
      </c>
      <c r="M20" s="252"/>
      <c r="N20" s="256">
        <f t="shared" si="2"/>
        <v>2210</v>
      </c>
      <c r="O20" s="213"/>
      <c r="P20" s="214"/>
      <c r="Q20" s="187">
        <f t="shared" si="3"/>
        <v>2210</v>
      </c>
      <c r="R20" s="183">
        <f t="shared" si="4"/>
        <v>2210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46</v>
      </c>
      <c r="L21" s="251">
        <f>420+300+240+200+150+150+100+100+100+75+50+50+30+50+50+35+25+15</f>
        <v>2140</v>
      </c>
      <c r="M21" s="252"/>
      <c r="N21" s="256">
        <f t="shared" si="2"/>
        <v>2186</v>
      </c>
      <c r="O21" s="213"/>
      <c r="P21" s="214"/>
      <c r="Q21" s="187">
        <f t="shared" si="3"/>
        <v>2186</v>
      </c>
      <c r="R21" s="183">
        <f t="shared" si="4"/>
        <v>2186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46</v>
      </c>
      <c r="L22" s="251">
        <f>466+300+240+200+150+100+100+100+75+50+50+50+35+25+15+50</f>
        <v>2006</v>
      </c>
      <c r="M22" s="252"/>
      <c r="N22" s="256">
        <f t="shared" si="2"/>
        <v>2052</v>
      </c>
      <c r="O22" s="213"/>
      <c r="P22" s="214"/>
      <c r="Q22" s="187">
        <f t="shared" si="3"/>
        <v>2052</v>
      </c>
      <c r="R22" s="183">
        <f t="shared" si="4"/>
        <v>2052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46</v>
      </c>
      <c r="L23" s="251">
        <f>462+300+200+240+150+150+100+100+100+75+50+50+50+35+25+15+50+200+50</f>
        <v>2402</v>
      </c>
      <c r="M23" s="252"/>
      <c r="N23" s="256">
        <f t="shared" si="2"/>
        <v>2448</v>
      </c>
      <c r="O23" s="213"/>
      <c r="P23" s="214"/>
      <c r="Q23" s="187">
        <f t="shared" si="3"/>
        <v>2448</v>
      </c>
      <c r="R23" s="183">
        <f t="shared" si="4"/>
        <v>2448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46</v>
      </c>
      <c r="L24" s="251">
        <f>463+300+240+200+150+150+100+100+100+100+75+50+50+50+50+35+25+15</f>
        <v>2253</v>
      </c>
      <c r="M24" s="252"/>
      <c r="N24" s="256">
        <f t="shared" si="2"/>
        <v>2299</v>
      </c>
      <c r="O24" s="213"/>
      <c r="P24" s="214"/>
      <c r="Q24" s="187">
        <f t="shared" si="3"/>
        <v>2299</v>
      </c>
      <c r="R24" s="183">
        <f t="shared" si="4"/>
        <v>2299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16</v>
      </c>
      <c r="L25" s="251">
        <f>404+35</f>
        <v>439</v>
      </c>
      <c r="M25" s="252"/>
      <c r="N25" s="256">
        <f t="shared" si="2"/>
        <v>455</v>
      </c>
      <c r="O25" s="213"/>
      <c r="P25" s="214"/>
      <c r="Q25" s="187">
        <f t="shared" si="3"/>
        <v>455</v>
      </c>
      <c r="R25" s="183">
        <f t="shared" si="4"/>
        <v>455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26</v>
      </c>
      <c r="L26" s="251">
        <f>235+300</f>
        <v>535</v>
      </c>
      <c r="M26" s="252"/>
      <c r="N26" s="256">
        <f t="shared" si="2"/>
        <v>561</v>
      </c>
      <c r="O26" s="213"/>
      <c r="P26" s="214"/>
      <c r="Q26" s="187">
        <f t="shared" si="3"/>
        <v>561</v>
      </c>
      <c r="R26" s="183">
        <f t="shared" si="4"/>
        <v>561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46</v>
      </c>
      <c r="L27" s="251">
        <f>383+300+240+200+150+150+100+100+100+100+75+50+50+50+50+35+25+15+25</f>
        <v>2198</v>
      </c>
      <c r="M27" s="252"/>
      <c r="N27" s="256">
        <f t="shared" si="2"/>
        <v>2244</v>
      </c>
      <c r="O27" s="213"/>
      <c r="P27" s="214"/>
      <c r="Q27" s="187">
        <f t="shared" si="3"/>
        <v>2244</v>
      </c>
      <c r="R27" s="183">
        <f t="shared" si="4"/>
        <v>2244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46</v>
      </c>
      <c r="L28" s="251">
        <f>415+300+240+200+150+150+100+100+100+75+50+50+50+50+35+25+15</f>
        <v>2105</v>
      </c>
      <c r="M28" s="252"/>
      <c r="N28" s="256">
        <f t="shared" si="2"/>
        <v>2151</v>
      </c>
      <c r="O28" s="213"/>
      <c r="P28" s="214"/>
      <c r="Q28" s="187">
        <f t="shared" si="3"/>
        <v>2151</v>
      </c>
      <c r="R28" s="183">
        <f t="shared" si="4"/>
        <v>2151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46</v>
      </c>
      <c r="L29" s="251">
        <f>490+300+240+200+150+150+100+100+100+75+50+50+50+30+35+25+15</f>
        <v>2160</v>
      </c>
      <c r="M29" s="252"/>
      <c r="N29" s="256">
        <f t="shared" si="2"/>
        <v>2206</v>
      </c>
      <c r="O29" s="213"/>
      <c r="P29" s="214"/>
      <c r="Q29" s="187">
        <f t="shared" si="3"/>
        <v>2206</v>
      </c>
      <c r="R29" s="183">
        <f t="shared" si="4"/>
        <v>2206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46</v>
      </c>
      <c r="L30" s="251">
        <f>454+300+240+200+150+100+100+100+100+75+50+50+50+50+50+50+35+25+15</f>
        <v>2194</v>
      </c>
      <c r="M30" s="252"/>
      <c r="N30" s="256">
        <f t="shared" si="2"/>
        <v>2240</v>
      </c>
      <c r="O30" s="213"/>
      <c r="P30" s="214"/>
      <c r="Q30" s="187">
        <f t="shared" si="3"/>
        <v>2240</v>
      </c>
      <c r="R30" s="183">
        <f t="shared" si="4"/>
        <v>2240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46</v>
      </c>
      <c r="L31" s="251">
        <f>453+300+240+150+100+100+100+100+75+50+50+50+50+35+25+15+150+200</f>
        <v>2243</v>
      </c>
      <c r="M31" s="252"/>
      <c r="N31" s="256">
        <f t="shared" si="2"/>
        <v>2289</v>
      </c>
      <c r="O31" s="213"/>
      <c r="P31" s="214"/>
      <c r="Q31" s="187">
        <f t="shared" si="3"/>
        <v>2289</v>
      </c>
      <c r="R31" s="183">
        <f t="shared" si="4"/>
        <v>2289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18</v>
      </c>
      <c r="L32" s="251">
        <f>390+35</f>
        <v>425</v>
      </c>
      <c r="M32" s="252"/>
      <c r="N32" s="256">
        <f t="shared" si="2"/>
        <v>443</v>
      </c>
      <c r="O32" s="213"/>
      <c r="P32" s="214"/>
      <c r="Q32" s="187">
        <f t="shared" si="3"/>
        <v>443</v>
      </c>
      <c r="R32" s="183">
        <f t="shared" si="4"/>
        <v>443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18</v>
      </c>
      <c r="L33" s="251">
        <f>433+35</f>
        <v>468</v>
      </c>
      <c r="M33" s="252"/>
      <c r="N33" s="256">
        <f t="shared" si="2"/>
        <v>486</v>
      </c>
      <c r="O33" s="213"/>
      <c r="P33" s="214"/>
      <c r="Q33" s="187">
        <f t="shared" si="3"/>
        <v>486</v>
      </c>
      <c r="R33" s="183">
        <f t="shared" si="4"/>
        <v>486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46</v>
      </c>
      <c r="L34" s="251">
        <f>424+475+200+150+150+100+100+75+50+50+35+30+500+100+50+163</f>
        <v>2652</v>
      </c>
      <c r="M34" s="252"/>
      <c r="N34" s="256">
        <f t="shared" si="2"/>
        <v>2698</v>
      </c>
      <c r="O34" s="213"/>
      <c r="P34" s="214"/>
      <c r="Q34" s="187">
        <f t="shared" si="3"/>
        <v>2698</v>
      </c>
      <c r="R34" s="183">
        <f t="shared" si="4"/>
        <v>2698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46</v>
      </c>
      <c r="L35" s="251">
        <f>517+300+300+300+200+150+150+100+100+75+60+50+50+50+50+30+35+25+15+200+481+52</f>
        <v>3290</v>
      </c>
      <c r="M35" s="252"/>
      <c r="N35" s="256">
        <f t="shared" si="2"/>
        <v>3336</v>
      </c>
      <c r="O35" s="213"/>
      <c r="P35" s="214"/>
      <c r="Q35" s="187">
        <f t="shared" si="3"/>
        <v>3336</v>
      </c>
      <c r="R35" s="183">
        <f t="shared" si="4"/>
        <v>3336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46</v>
      </c>
      <c r="L36" s="251">
        <f>427+200+150+150+390+100+40+15+100+100+75+50+50+50+50+25+300+200</f>
        <v>2472</v>
      </c>
      <c r="M36" s="252"/>
      <c r="N36" s="256">
        <f t="shared" si="2"/>
        <v>2518</v>
      </c>
      <c r="O36" s="213"/>
      <c r="P36" s="214"/>
      <c r="Q36" s="187">
        <f t="shared" si="3"/>
        <v>2518</v>
      </c>
      <c r="R36" s="183">
        <f t="shared" si="4"/>
        <v>2518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46</v>
      </c>
      <c r="L37" s="251">
        <f>546+300+200+200+150+150+100+100+100+46+75+50+50+50+50+50+25+15+120+35+50</f>
        <v>2462</v>
      </c>
      <c r="M37" s="252"/>
      <c r="N37" s="256">
        <f t="shared" si="2"/>
        <v>2508</v>
      </c>
      <c r="O37" s="213"/>
      <c r="P37" s="214"/>
      <c r="Q37" s="187">
        <f t="shared" si="3"/>
        <v>2508</v>
      </c>
      <c r="R37" s="183">
        <f t="shared" si="4"/>
        <v>2508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46</v>
      </c>
      <c r="L38" s="251">
        <f>457+500+300+120+200+200+150+150+100+100+100+100+75+50+50+50+50+65+65+25+35+15+100</f>
        <v>3057</v>
      </c>
      <c r="M38" s="252"/>
      <c r="N38" s="256">
        <f t="shared" si="2"/>
        <v>3103</v>
      </c>
      <c r="O38" s="213"/>
      <c r="P38" s="214"/>
      <c r="Q38" s="187">
        <f t="shared" si="3"/>
        <v>3103</v>
      </c>
      <c r="R38" s="183">
        <f t="shared" si="4"/>
        <v>3103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18</v>
      </c>
      <c r="L39" s="251">
        <f>238+200+60</f>
        <v>498</v>
      </c>
      <c r="M39" s="252"/>
      <c r="N39" s="256">
        <f t="shared" si="2"/>
        <v>516</v>
      </c>
      <c r="O39" s="213"/>
      <c r="P39" s="214"/>
      <c r="Q39" s="187">
        <f t="shared" si="3"/>
        <v>516</v>
      </c>
      <c r="R39" s="183">
        <f t="shared" si="4"/>
        <v>516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22</v>
      </c>
      <c r="L40" s="251">
        <f>327+200</f>
        <v>527</v>
      </c>
      <c r="M40" s="252"/>
      <c r="N40" s="256">
        <f t="shared" si="2"/>
        <v>549</v>
      </c>
      <c r="O40" s="213"/>
      <c r="P40" s="214"/>
      <c r="Q40" s="187">
        <f t="shared" si="3"/>
        <v>549</v>
      </c>
      <c r="R40" s="183">
        <f t="shared" si="4"/>
        <v>549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46</v>
      </c>
      <c r="L41" s="251">
        <f>415+300+200+200+150+150+100+100+100+100+75+50+50+50+25+15+120+35+300</f>
        <v>2535</v>
      </c>
      <c r="M41" s="252"/>
      <c r="N41" s="256">
        <f t="shared" si="2"/>
        <v>2581</v>
      </c>
      <c r="O41" s="213"/>
      <c r="P41" s="214"/>
      <c r="Q41" s="187">
        <f t="shared" si="3"/>
        <v>2581</v>
      </c>
      <c r="R41" s="183">
        <f t="shared" si="4"/>
        <v>2581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46</v>
      </c>
      <c r="L42" s="251">
        <f>466+300+140+200+200+150+150+100+100+100+75+50+50+50+35+25+15+50+30</f>
        <v>2286</v>
      </c>
      <c r="M42" s="252"/>
      <c r="N42" s="256">
        <f t="shared" si="2"/>
        <v>2332</v>
      </c>
      <c r="O42" s="213"/>
      <c r="P42" s="214"/>
      <c r="Q42" s="187">
        <f t="shared" si="3"/>
        <v>2332</v>
      </c>
      <c r="R42" s="183">
        <f t="shared" si="4"/>
        <v>2332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46</v>
      </c>
      <c r="L43" s="251">
        <f>472+300+200+200+150+150+140+100+100+100+75+50+50+50+50+35+25+15+30</f>
        <v>2292</v>
      </c>
      <c r="M43" s="252"/>
      <c r="N43" s="256">
        <f t="shared" si="2"/>
        <v>2338</v>
      </c>
      <c r="O43" s="213"/>
      <c r="P43" s="214"/>
      <c r="Q43" s="187">
        <f t="shared" si="3"/>
        <v>2338</v>
      </c>
      <c r="R43" s="183">
        <f t="shared" si="4"/>
        <v>2338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46</v>
      </c>
      <c r="L44" s="251">
        <f>448+300+200+200+150+150+100+100+100+75+170+50+50+50+50+35+30+25+15+40</f>
        <v>2338</v>
      </c>
      <c r="M44" s="252"/>
      <c r="N44" s="256">
        <f t="shared" si="2"/>
        <v>2384</v>
      </c>
      <c r="O44" s="213"/>
      <c r="P44" s="214"/>
      <c r="Q44" s="187">
        <f t="shared" si="3"/>
        <v>2384</v>
      </c>
      <c r="R44" s="183">
        <f t="shared" si="4"/>
        <v>2384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46</v>
      </c>
      <c r="L45" s="251">
        <f>397+300+200+200+235+150+200+150+150+100+100+100+100+75+50+50+50+50+35+30+25+20+15</f>
        <v>2782</v>
      </c>
      <c r="M45" s="252"/>
      <c r="N45" s="256">
        <f t="shared" si="2"/>
        <v>2828</v>
      </c>
      <c r="O45" s="213"/>
      <c r="P45" s="214"/>
      <c r="Q45" s="187">
        <f t="shared" si="3"/>
        <v>2828</v>
      </c>
      <c r="R45" s="183">
        <f t="shared" si="4"/>
        <v>2828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1166</v>
      </c>
      <c r="L48" s="259">
        <f t="shared" si="5"/>
        <v>56395</v>
      </c>
      <c r="M48" s="260">
        <f t="shared" si="5"/>
        <v>0</v>
      </c>
      <c r="N48" s="258">
        <f>SUM(N16:N46)</f>
        <v>57561</v>
      </c>
      <c r="O48" s="195">
        <f t="shared" si="5"/>
        <v>0</v>
      </c>
      <c r="P48" s="195">
        <f t="shared" si="5"/>
        <v>0</v>
      </c>
      <c r="Q48" s="194">
        <f>SUM(Q16:Q46)</f>
        <v>57561</v>
      </c>
      <c r="R48" s="185">
        <f>SUM(R16:R46)</f>
        <v>57561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showGridLines="0" topLeftCell="A35" zoomScale="70" zoomScaleNormal="70" workbookViewId="0">
      <selection activeCell="L41" sqref="L41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225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04"/>
      <c r="H14" s="405" t="s">
        <v>29</v>
      </c>
      <c r="I14" s="405"/>
      <c r="J14" s="406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12</v>
      </c>
      <c r="L16" s="251">
        <f>792+18+10+20+10+9</f>
        <v>859</v>
      </c>
      <c r="M16" s="252"/>
      <c r="N16" s="256">
        <f>+K16+L16+M16</f>
        <v>871</v>
      </c>
      <c r="O16" s="235"/>
      <c r="P16" s="234"/>
      <c r="Q16" s="187">
        <f>+P16+O16+N16</f>
        <v>871</v>
      </c>
      <c r="R16" s="183">
        <f>+Q16+J16+F16</f>
        <v>871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8</v>
      </c>
      <c r="L17" s="251">
        <f>309+30+10+10+10+10</f>
        <v>379</v>
      </c>
      <c r="M17" s="252"/>
      <c r="N17" s="256">
        <f t="shared" ref="N17:N46" si="2">+K17+L17+M17</f>
        <v>387</v>
      </c>
      <c r="O17" s="235"/>
      <c r="P17" s="234"/>
      <c r="Q17" s="187">
        <f t="shared" ref="Q17:Q46" si="3">+P17+O17+N17</f>
        <v>387</v>
      </c>
      <c r="R17" s="183">
        <f t="shared" ref="R17:R46" si="4">+Q17+J17+F17</f>
        <v>387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35"/>
      <c r="P18" s="23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12</v>
      </c>
      <c r="L20" s="251">
        <f>837+32+10+9+8+10+20+26</f>
        <v>952</v>
      </c>
      <c r="M20" s="252"/>
      <c r="N20" s="256">
        <f t="shared" si="2"/>
        <v>964</v>
      </c>
      <c r="O20" s="235"/>
      <c r="P20" s="234"/>
      <c r="Q20" s="187">
        <f t="shared" si="3"/>
        <v>964</v>
      </c>
      <c r="R20" s="183">
        <f t="shared" si="4"/>
        <v>964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11</v>
      </c>
      <c r="L21" s="251">
        <f>859+30+10+10+9+24+20+21</f>
        <v>983</v>
      </c>
      <c r="M21" s="252"/>
      <c r="N21" s="256">
        <f t="shared" si="2"/>
        <v>994</v>
      </c>
      <c r="O21" s="235"/>
      <c r="P21" s="234"/>
      <c r="Q21" s="187">
        <f t="shared" si="3"/>
        <v>994</v>
      </c>
      <c r="R21" s="183">
        <f t="shared" si="4"/>
        <v>994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11</v>
      </c>
      <c r="L22" s="251">
        <f>880+30+22+20+10+10+10</f>
        <v>982</v>
      </c>
      <c r="M22" s="252"/>
      <c r="N22" s="256">
        <f t="shared" si="2"/>
        <v>993</v>
      </c>
      <c r="O22" s="235"/>
      <c r="P22" s="234"/>
      <c r="Q22" s="187">
        <f t="shared" si="3"/>
        <v>993</v>
      </c>
      <c r="R22" s="183">
        <f t="shared" si="4"/>
        <v>993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12</v>
      </c>
      <c r="L23" s="251">
        <f>840+30+9+9+4+10+20+10+18</f>
        <v>950</v>
      </c>
      <c r="M23" s="252"/>
      <c r="N23" s="256">
        <f t="shared" si="2"/>
        <v>962</v>
      </c>
      <c r="O23" s="235"/>
      <c r="P23" s="234"/>
      <c r="Q23" s="187">
        <f t="shared" si="3"/>
        <v>962</v>
      </c>
      <c r="R23" s="183">
        <f t="shared" si="4"/>
        <v>962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10</v>
      </c>
      <c r="L24" s="251">
        <f>741+30+10+9+10+10</f>
        <v>810</v>
      </c>
      <c r="M24" s="252"/>
      <c r="N24" s="256">
        <f t="shared" si="2"/>
        <v>820</v>
      </c>
      <c r="O24" s="235"/>
      <c r="P24" s="234"/>
      <c r="Q24" s="187">
        <f t="shared" si="3"/>
        <v>820</v>
      </c>
      <c r="R24" s="183">
        <f t="shared" si="4"/>
        <v>820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35"/>
      <c r="P25" s="23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15</v>
      </c>
      <c r="L27" s="251">
        <f>877+30+10+20+9+9+10</f>
        <v>965</v>
      </c>
      <c r="M27" s="252"/>
      <c r="N27" s="256">
        <f t="shared" si="2"/>
        <v>980</v>
      </c>
      <c r="O27" s="235"/>
      <c r="P27" s="234"/>
      <c r="Q27" s="187">
        <f t="shared" si="3"/>
        <v>980</v>
      </c>
      <c r="R27" s="183">
        <f t="shared" si="4"/>
        <v>980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10</v>
      </c>
      <c r="L28" s="251">
        <f>845+10+10+10</f>
        <v>875</v>
      </c>
      <c r="M28" s="252"/>
      <c r="N28" s="256">
        <f t="shared" si="2"/>
        <v>885</v>
      </c>
      <c r="O28" s="235"/>
      <c r="P28" s="234"/>
      <c r="Q28" s="187">
        <f t="shared" si="3"/>
        <v>885</v>
      </c>
      <c r="R28" s="183">
        <f t="shared" si="4"/>
        <v>885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6</v>
      </c>
      <c r="L29" s="251">
        <f>912+30+10+9+10+10</f>
        <v>981</v>
      </c>
      <c r="M29" s="252"/>
      <c r="N29" s="256">
        <f t="shared" si="2"/>
        <v>987</v>
      </c>
      <c r="O29" s="235"/>
      <c r="P29" s="234"/>
      <c r="Q29" s="187">
        <f t="shared" si="3"/>
        <v>987</v>
      </c>
      <c r="R29" s="183">
        <f t="shared" si="4"/>
        <v>987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7</v>
      </c>
      <c r="L30" s="251">
        <f>912+30+10+10+9+10+10</f>
        <v>991</v>
      </c>
      <c r="M30" s="252"/>
      <c r="N30" s="256">
        <f t="shared" si="2"/>
        <v>998</v>
      </c>
      <c r="O30" s="235"/>
      <c r="P30" s="234"/>
      <c r="Q30" s="187">
        <f t="shared" si="3"/>
        <v>998</v>
      </c>
      <c r="R30" s="183">
        <f t="shared" si="4"/>
        <v>998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9</v>
      </c>
      <c r="L31" s="251">
        <f>918+30+10+10+9+10</f>
        <v>987</v>
      </c>
      <c r="M31" s="252"/>
      <c r="N31" s="256">
        <f t="shared" si="2"/>
        <v>996</v>
      </c>
      <c r="O31" s="235"/>
      <c r="P31" s="234"/>
      <c r="Q31" s="187">
        <f t="shared" si="3"/>
        <v>996</v>
      </c>
      <c r="R31" s="183">
        <f t="shared" si="4"/>
        <v>996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35"/>
      <c r="P32" s="23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35"/>
      <c r="P33" s="23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6</v>
      </c>
      <c r="L34" s="251">
        <f>744+25+10</f>
        <v>779</v>
      </c>
      <c r="M34" s="252"/>
      <c r="N34" s="256">
        <f t="shared" si="2"/>
        <v>785</v>
      </c>
      <c r="O34" s="235"/>
      <c r="P34" s="234"/>
      <c r="Q34" s="187">
        <f t="shared" si="3"/>
        <v>785</v>
      </c>
      <c r="R34" s="183">
        <f t="shared" si="4"/>
        <v>785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/>
      <c r="L35" s="251"/>
      <c r="M35" s="252"/>
      <c r="N35" s="256">
        <f t="shared" si="2"/>
        <v>0</v>
      </c>
      <c r="O35" s="235"/>
      <c r="P35" s="234"/>
      <c r="Q35" s="187">
        <f t="shared" si="3"/>
        <v>0</v>
      </c>
      <c r="R35" s="183">
        <f t="shared" si="4"/>
        <v>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10</v>
      </c>
      <c r="L36" s="251">
        <f>839+30+8+20+9+10+9</f>
        <v>925</v>
      </c>
      <c r="M36" s="252"/>
      <c r="N36" s="256">
        <f t="shared" si="2"/>
        <v>935</v>
      </c>
      <c r="O36" s="235"/>
      <c r="P36" s="234"/>
      <c r="Q36" s="187">
        <f t="shared" si="3"/>
        <v>935</v>
      </c>
      <c r="R36" s="183">
        <f t="shared" si="4"/>
        <v>935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10</v>
      </c>
      <c r="L37" s="251">
        <f>30+10+10+9+10+20+848</f>
        <v>937</v>
      </c>
      <c r="M37" s="252"/>
      <c r="N37" s="256">
        <f t="shared" si="2"/>
        <v>947</v>
      </c>
      <c r="O37" s="235"/>
      <c r="P37" s="234"/>
      <c r="Q37" s="187">
        <f t="shared" si="3"/>
        <v>947</v>
      </c>
      <c r="R37" s="183">
        <f t="shared" si="4"/>
        <v>947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12</v>
      </c>
      <c r="L38" s="251">
        <f>775+30+10+20+9+10+4</f>
        <v>858</v>
      </c>
      <c r="M38" s="252"/>
      <c r="N38" s="256">
        <f t="shared" si="2"/>
        <v>870</v>
      </c>
      <c r="O38" s="235"/>
      <c r="P38" s="234"/>
      <c r="Q38" s="187">
        <f t="shared" si="3"/>
        <v>870</v>
      </c>
      <c r="R38" s="183">
        <f t="shared" si="4"/>
        <v>870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35"/>
      <c r="P39" s="23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35"/>
      <c r="P40" s="23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12</v>
      </c>
      <c r="L41" s="251">
        <f>849+30+20+10+10+9</f>
        <v>928</v>
      </c>
      <c r="M41" s="252"/>
      <c r="N41" s="256">
        <f t="shared" si="2"/>
        <v>940</v>
      </c>
      <c r="O41" s="235"/>
      <c r="P41" s="234"/>
      <c r="Q41" s="187">
        <f t="shared" si="3"/>
        <v>940</v>
      </c>
      <c r="R41" s="183">
        <f t="shared" si="4"/>
        <v>940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11</v>
      </c>
      <c r="L42" s="250">
        <f>887+30+10+10+9+20</f>
        <v>966</v>
      </c>
      <c r="M42" s="252"/>
      <c r="N42" s="256">
        <f t="shared" si="2"/>
        <v>977</v>
      </c>
      <c r="O42" s="235"/>
      <c r="P42" s="234"/>
      <c r="Q42" s="187">
        <f t="shared" si="3"/>
        <v>977</v>
      </c>
      <c r="R42" s="183">
        <f t="shared" si="4"/>
        <v>977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10</v>
      </c>
      <c r="L43" s="251">
        <f>907+30+10+11+10+4+10</f>
        <v>982</v>
      </c>
      <c r="M43" s="252"/>
      <c r="N43" s="256">
        <f t="shared" si="2"/>
        <v>992</v>
      </c>
      <c r="O43" s="235"/>
      <c r="P43" s="234"/>
      <c r="Q43" s="187">
        <f t="shared" si="3"/>
        <v>992</v>
      </c>
      <c r="R43" s="183">
        <f t="shared" si="4"/>
        <v>992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11</v>
      </c>
      <c r="L44" s="251">
        <f>855+30+11+10+20+9+4</f>
        <v>939</v>
      </c>
      <c r="M44" s="252"/>
      <c r="N44" s="256">
        <f t="shared" si="2"/>
        <v>950</v>
      </c>
      <c r="O44" s="235"/>
      <c r="P44" s="234"/>
      <c r="Q44" s="187">
        <f t="shared" si="3"/>
        <v>950</v>
      </c>
      <c r="R44" s="183">
        <f t="shared" si="4"/>
        <v>950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10</v>
      </c>
      <c r="L45" s="251">
        <f>734+30+11+6+10+9+10</f>
        <v>810</v>
      </c>
      <c r="M45" s="252"/>
      <c r="N45" s="256">
        <f t="shared" si="2"/>
        <v>820</v>
      </c>
      <c r="O45" s="235"/>
      <c r="P45" s="234"/>
      <c r="Q45" s="187">
        <f t="shared" si="3"/>
        <v>820</v>
      </c>
      <c r="R45" s="183">
        <f t="shared" si="4"/>
        <v>820</v>
      </c>
      <c r="S45" s="215"/>
      <c r="T45" s="215"/>
    </row>
    <row r="46" spans="2:20" ht="15" customHeight="1" thickBot="1" x14ac:dyDescent="0.35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478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>SUM(K16:K46)</f>
        <v>215</v>
      </c>
      <c r="L48" s="259">
        <f t="shared" si="5"/>
        <v>18838</v>
      </c>
      <c r="M48" s="260">
        <f t="shared" si="5"/>
        <v>0</v>
      </c>
      <c r="N48" s="258">
        <f>SUM(N16:N46)</f>
        <v>19053</v>
      </c>
      <c r="O48" s="195">
        <f t="shared" si="5"/>
        <v>0</v>
      </c>
      <c r="P48" s="195">
        <f t="shared" si="5"/>
        <v>0</v>
      </c>
      <c r="Q48" s="194">
        <f>SUM(Q16:Q46)</f>
        <v>19053</v>
      </c>
      <c r="R48" s="185">
        <f>SUM(R16:R46)</f>
        <v>19053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215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L50" s="215"/>
      <c r="M50" s="215"/>
      <c r="N50" s="215"/>
      <c r="O50" s="215"/>
      <c r="P50" s="215"/>
      <c r="Q50" s="215"/>
      <c r="R50" s="215">
        <f>+F48+J48+Q48</f>
        <v>19053</v>
      </c>
    </row>
    <row r="51" spans="2:18" x14ac:dyDescent="0.3">
      <c r="K51" s="215">
        <f>SUM(K16:K46)</f>
        <v>215</v>
      </c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9" zoomScale="70" zoomScaleNormal="70" workbookViewId="0">
      <selection activeCell="R52" sqref="R52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237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58"/>
      <c r="H14" s="459" t="s">
        <v>29</v>
      </c>
      <c r="I14" s="459"/>
      <c r="J14" s="460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55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15</v>
      </c>
      <c r="L16" s="251">
        <f>1152+25+25+30+16+12</f>
        <v>1260</v>
      </c>
      <c r="M16" s="252"/>
      <c r="N16" s="256">
        <f>+K16+L16+M16</f>
        <v>1275</v>
      </c>
      <c r="O16" s="235"/>
      <c r="P16" s="234"/>
      <c r="Q16" s="187">
        <f>+P16+O16+N16</f>
        <v>1275</v>
      </c>
      <c r="R16" s="183">
        <f>+Q16+J16+F16</f>
        <v>1275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15</v>
      </c>
      <c r="L17" s="251">
        <f>1537+19+8+6+30+25+25+25</f>
        <v>1675</v>
      </c>
      <c r="M17" s="252"/>
      <c r="N17" s="256">
        <f t="shared" ref="N17:N46" si="2">+K17+L17+M17</f>
        <v>1690</v>
      </c>
      <c r="O17" s="235"/>
      <c r="P17" s="234"/>
      <c r="Q17" s="187">
        <f t="shared" ref="Q17:Q46" si="3">+P17+O17+N17</f>
        <v>1690</v>
      </c>
      <c r="R17" s="183">
        <f t="shared" ref="R17:R46" si="4">+Q17+J17+F17</f>
        <v>1690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35"/>
      <c r="P18" s="23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15</v>
      </c>
      <c r="L20" s="251">
        <f>1748+15+12+30+25+25</f>
        <v>1855</v>
      </c>
      <c r="M20" s="252"/>
      <c r="N20" s="256">
        <f t="shared" si="2"/>
        <v>1870</v>
      </c>
      <c r="O20" s="235"/>
      <c r="P20" s="234"/>
      <c r="Q20" s="187">
        <f t="shared" si="3"/>
        <v>1870</v>
      </c>
      <c r="R20" s="183">
        <f t="shared" si="4"/>
        <v>1870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15</v>
      </c>
      <c r="L21" s="251">
        <f>1188+30+25+6+16</f>
        <v>1265</v>
      </c>
      <c r="M21" s="252"/>
      <c r="N21" s="256">
        <f t="shared" si="2"/>
        <v>1280</v>
      </c>
      <c r="O21" s="235"/>
      <c r="P21" s="234"/>
      <c r="Q21" s="187">
        <f t="shared" si="3"/>
        <v>1280</v>
      </c>
      <c r="R21" s="183">
        <f t="shared" si="4"/>
        <v>1280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15</v>
      </c>
      <c r="L22" s="251">
        <f>1738+23+20+30+25+25+2</f>
        <v>1863</v>
      </c>
      <c r="M22" s="252"/>
      <c r="N22" s="256">
        <f t="shared" si="2"/>
        <v>1878</v>
      </c>
      <c r="O22" s="235"/>
      <c r="P22" s="234"/>
      <c r="Q22" s="187">
        <f t="shared" si="3"/>
        <v>1878</v>
      </c>
      <c r="R22" s="183">
        <f t="shared" si="4"/>
        <v>1878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15</v>
      </c>
      <c r="L23" s="251">
        <f>1134+15+7+15+30+25+25+11</f>
        <v>1262</v>
      </c>
      <c r="M23" s="252"/>
      <c r="N23" s="256">
        <f t="shared" si="2"/>
        <v>1277</v>
      </c>
      <c r="O23" s="235"/>
      <c r="P23" s="234"/>
      <c r="Q23" s="187">
        <f t="shared" si="3"/>
        <v>1277</v>
      </c>
      <c r="R23" s="183">
        <f t="shared" si="4"/>
        <v>1277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15</v>
      </c>
      <c r="L24" s="251">
        <f>1600+25+25+65+15+15</f>
        <v>1745</v>
      </c>
      <c r="M24" s="252"/>
      <c r="N24" s="256">
        <f t="shared" si="2"/>
        <v>1760</v>
      </c>
      <c r="O24" s="235"/>
      <c r="P24" s="234"/>
      <c r="Q24" s="187">
        <f t="shared" si="3"/>
        <v>1760</v>
      </c>
      <c r="R24" s="183">
        <f t="shared" si="4"/>
        <v>1760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9</v>
      </c>
      <c r="L25" s="251">
        <v>80</v>
      </c>
      <c r="M25" s="252"/>
      <c r="N25" s="256">
        <f t="shared" si="2"/>
        <v>89</v>
      </c>
      <c r="O25" s="235"/>
      <c r="P25" s="234"/>
      <c r="Q25" s="187">
        <f t="shared" si="3"/>
        <v>89</v>
      </c>
      <c r="R25" s="183">
        <f t="shared" si="4"/>
        <v>89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15</v>
      </c>
      <c r="L27" s="251">
        <f>1133+35+25+25+15+25+7</f>
        <v>1265</v>
      </c>
      <c r="M27" s="252"/>
      <c r="N27" s="256">
        <f t="shared" si="2"/>
        <v>1280</v>
      </c>
      <c r="O27" s="235"/>
      <c r="P27" s="234"/>
      <c r="Q27" s="187">
        <f t="shared" si="3"/>
        <v>1280</v>
      </c>
      <c r="R27" s="183">
        <f t="shared" si="4"/>
        <v>1280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13</v>
      </c>
      <c r="L28" s="251">
        <f>35+25+25+25+11+24+1713</f>
        <v>1858</v>
      </c>
      <c r="M28" s="252"/>
      <c r="N28" s="256">
        <f t="shared" si="2"/>
        <v>1871</v>
      </c>
      <c r="O28" s="235"/>
      <c r="P28" s="234"/>
      <c r="Q28" s="187">
        <f t="shared" si="3"/>
        <v>1871</v>
      </c>
      <c r="R28" s="183">
        <f t="shared" si="4"/>
        <v>1871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13</v>
      </c>
      <c r="L29" s="251">
        <f>1570+25+25+25+15+4</f>
        <v>1664</v>
      </c>
      <c r="M29" s="252"/>
      <c r="N29" s="256">
        <f t="shared" si="2"/>
        <v>1677</v>
      </c>
      <c r="O29" s="235"/>
      <c r="P29" s="234"/>
      <c r="Q29" s="187">
        <f t="shared" si="3"/>
        <v>1677</v>
      </c>
      <c r="R29" s="183">
        <f t="shared" si="4"/>
        <v>1677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13</v>
      </c>
      <c r="L30" s="251">
        <f>1745+35+25+25+17+13</f>
        <v>1860</v>
      </c>
      <c r="M30" s="252"/>
      <c r="N30" s="256">
        <f t="shared" si="2"/>
        <v>1873</v>
      </c>
      <c r="O30" s="235"/>
      <c r="P30" s="234"/>
      <c r="Q30" s="187">
        <f t="shared" si="3"/>
        <v>1873</v>
      </c>
      <c r="R30" s="183">
        <f t="shared" si="4"/>
        <v>1873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14</v>
      </c>
      <c r="L31" s="251">
        <f>1713+35+25+25+25+22+7</f>
        <v>1852</v>
      </c>
      <c r="M31" s="252"/>
      <c r="N31" s="256">
        <f t="shared" si="2"/>
        <v>1866</v>
      </c>
      <c r="O31" s="235"/>
      <c r="P31" s="234"/>
      <c r="Q31" s="187">
        <f t="shared" si="3"/>
        <v>1866</v>
      </c>
      <c r="R31" s="183">
        <f t="shared" si="4"/>
        <v>1866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35"/>
      <c r="P32" s="23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10</v>
      </c>
      <c r="L33" s="251">
        <v>740</v>
      </c>
      <c r="M33" s="252"/>
      <c r="N33" s="256">
        <f t="shared" si="2"/>
        <v>750</v>
      </c>
      <c r="O33" s="235"/>
      <c r="P33" s="234"/>
      <c r="Q33" s="187">
        <f t="shared" si="3"/>
        <v>750</v>
      </c>
      <c r="R33" s="183">
        <f t="shared" si="4"/>
        <v>750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12</v>
      </c>
      <c r="L34" s="251">
        <f>1518+2442+27+81+40+16+20+32</f>
        <v>4176</v>
      </c>
      <c r="M34" s="252"/>
      <c r="N34" s="256">
        <f t="shared" si="2"/>
        <v>4188</v>
      </c>
      <c r="O34" s="235"/>
      <c r="P34" s="234"/>
      <c r="Q34" s="187">
        <f t="shared" si="3"/>
        <v>4188</v>
      </c>
      <c r="R34" s="183">
        <f t="shared" si="4"/>
        <v>4188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13</v>
      </c>
      <c r="L35" s="251">
        <f>1710+706+94+135+18+6+24+47</f>
        <v>2740</v>
      </c>
      <c r="M35" s="252"/>
      <c r="N35" s="256">
        <f t="shared" si="2"/>
        <v>2753</v>
      </c>
      <c r="O35" s="235"/>
      <c r="P35" s="234"/>
      <c r="Q35" s="187">
        <f t="shared" si="3"/>
        <v>2753</v>
      </c>
      <c r="R35" s="183">
        <f t="shared" si="4"/>
        <v>2753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13</v>
      </c>
      <c r="L36" s="251">
        <f>1313+332+47+47+15+25+17+6</f>
        <v>1802</v>
      </c>
      <c r="M36" s="252"/>
      <c r="N36" s="256">
        <f t="shared" si="2"/>
        <v>1815</v>
      </c>
      <c r="O36" s="235"/>
      <c r="P36" s="234"/>
      <c r="Q36" s="187">
        <f t="shared" si="3"/>
        <v>1815</v>
      </c>
      <c r="R36" s="183">
        <f t="shared" si="4"/>
        <v>1815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13</v>
      </c>
      <c r="L37" s="251">
        <f>1623+20+15+15</f>
        <v>1673</v>
      </c>
      <c r="M37" s="252"/>
      <c r="N37" s="256">
        <f t="shared" si="2"/>
        <v>1686</v>
      </c>
      <c r="O37" s="235"/>
      <c r="P37" s="234"/>
      <c r="Q37" s="187">
        <f t="shared" si="3"/>
        <v>1686</v>
      </c>
      <c r="R37" s="183">
        <f t="shared" si="4"/>
        <v>1686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14</v>
      </c>
      <c r="L38" s="251">
        <f>19+15+1828</f>
        <v>1862</v>
      </c>
      <c r="M38" s="252"/>
      <c r="N38" s="256">
        <f t="shared" si="2"/>
        <v>1876</v>
      </c>
      <c r="O38" s="235"/>
      <c r="P38" s="234"/>
      <c r="Q38" s="187">
        <f t="shared" si="3"/>
        <v>1876</v>
      </c>
      <c r="R38" s="183">
        <f t="shared" si="4"/>
        <v>1876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13</v>
      </c>
      <c r="L39" s="251">
        <v>400</v>
      </c>
      <c r="M39" s="252"/>
      <c r="N39" s="256">
        <f t="shared" si="2"/>
        <v>413</v>
      </c>
      <c r="O39" s="235"/>
      <c r="P39" s="234"/>
      <c r="Q39" s="187">
        <f t="shared" si="3"/>
        <v>413</v>
      </c>
      <c r="R39" s="183">
        <f t="shared" si="4"/>
        <v>413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13</v>
      </c>
      <c r="L40" s="251">
        <f>198+68+270</f>
        <v>536</v>
      </c>
      <c r="M40" s="252"/>
      <c r="N40" s="256">
        <f t="shared" si="2"/>
        <v>549</v>
      </c>
      <c r="O40" s="235"/>
      <c r="P40" s="234"/>
      <c r="Q40" s="187">
        <f t="shared" si="3"/>
        <v>549</v>
      </c>
      <c r="R40" s="183">
        <f t="shared" si="4"/>
        <v>549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14</v>
      </c>
      <c r="L41" s="251">
        <f>25+25+15+6+81+94+135+970</f>
        <v>1351</v>
      </c>
      <c r="M41" s="252"/>
      <c r="N41" s="256">
        <f t="shared" si="2"/>
        <v>1365</v>
      </c>
      <c r="O41" s="235"/>
      <c r="P41" s="234"/>
      <c r="Q41" s="187">
        <f t="shared" si="3"/>
        <v>1365</v>
      </c>
      <c r="R41" s="183">
        <f t="shared" si="4"/>
        <v>1365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14</v>
      </c>
      <c r="L42" s="251">
        <f>25+25+25+17+81+67+1071</f>
        <v>1311</v>
      </c>
      <c r="M42" s="252"/>
      <c r="N42" s="256">
        <f t="shared" si="2"/>
        <v>1325</v>
      </c>
      <c r="O42" s="235"/>
      <c r="P42" s="234"/>
      <c r="Q42" s="187">
        <f t="shared" si="3"/>
        <v>1325</v>
      </c>
      <c r="R42" s="183">
        <f t="shared" si="4"/>
        <v>1325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14</v>
      </c>
      <c r="L43" s="251">
        <f>25+1468+25+7+15+101+50</f>
        <v>1691</v>
      </c>
      <c r="M43" s="252"/>
      <c r="N43" s="256">
        <f t="shared" si="2"/>
        <v>1705</v>
      </c>
      <c r="O43" s="235"/>
      <c r="P43" s="234"/>
      <c r="Q43" s="187">
        <f t="shared" si="3"/>
        <v>1705</v>
      </c>
      <c r="R43" s="183">
        <f t="shared" si="4"/>
        <v>1705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14</v>
      </c>
      <c r="L44" s="251">
        <f>25+25+15+135+10+25+50+1606</f>
        <v>1891</v>
      </c>
      <c r="M44" s="252"/>
      <c r="N44" s="256">
        <f t="shared" si="2"/>
        <v>1905</v>
      </c>
      <c r="O44" s="235"/>
      <c r="P44" s="234"/>
      <c r="Q44" s="187">
        <f t="shared" si="3"/>
        <v>1905</v>
      </c>
      <c r="R44" s="183">
        <f t="shared" si="4"/>
        <v>1905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14</v>
      </c>
      <c r="L45" s="251">
        <f>1356+25+25+81+405+10+25+54</f>
        <v>1981</v>
      </c>
      <c r="M45" s="252"/>
      <c r="N45" s="256">
        <f t="shared" si="2"/>
        <v>1995</v>
      </c>
      <c r="O45" s="235"/>
      <c r="P45" s="234"/>
      <c r="Q45" s="187">
        <f t="shared" si="3"/>
        <v>1995</v>
      </c>
      <c r="R45" s="183">
        <f t="shared" si="4"/>
        <v>1995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353</v>
      </c>
      <c r="L48" s="259">
        <f t="shared" si="5"/>
        <v>41658</v>
      </c>
      <c r="M48" s="260">
        <f t="shared" si="5"/>
        <v>0</v>
      </c>
      <c r="N48" s="258">
        <f>SUM(N16:N46)</f>
        <v>42011</v>
      </c>
      <c r="O48" s="195">
        <f t="shared" si="5"/>
        <v>0</v>
      </c>
      <c r="P48" s="195">
        <f t="shared" si="5"/>
        <v>0</v>
      </c>
      <c r="Q48" s="194">
        <f>SUM(Q16:Q46)</f>
        <v>42011</v>
      </c>
      <c r="R48" s="185">
        <f>SUM(R16:R46)</f>
        <v>42011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x14ac:dyDescent="0.3">
      <c r="K51" s="215"/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M54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showGridLines="0" topLeftCell="A34" zoomScale="70" zoomScaleNormal="70" workbookViewId="0">
      <selection activeCell="L46" sqref="L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241</v>
      </c>
      <c r="E12" s="524"/>
      <c r="F12" s="524"/>
      <c r="G12" s="524"/>
      <c r="H12" s="524"/>
      <c r="I12" s="524"/>
      <c r="J12" s="524"/>
      <c r="K12" s="524"/>
      <c r="L12" s="50"/>
      <c r="M12" s="514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473"/>
      <c r="H14" s="474" t="s">
        <v>29</v>
      </c>
      <c r="I14" s="474"/>
      <c r="J14" s="475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244</v>
      </c>
      <c r="H15" s="161" t="s">
        <v>243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>
        <v>17</v>
      </c>
      <c r="E16" s="209"/>
      <c r="F16" s="177">
        <f>+D16+E16</f>
        <v>17</v>
      </c>
      <c r="G16" s="210">
        <v>58</v>
      </c>
      <c r="H16" s="211">
        <v>245</v>
      </c>
      <c r="I16" s="212"/>
      <c r="J16" s="176">
        <f>+G16+H16+I16</f>
        <v>303</v>
      </c>
      <c r="K16" s="250">
        <v>25</v>
      </c>
      <c r="L16" s="251">
        <v>26</v>
      </c>
      <c r="M16" s="252"/>
      <c r="N16" s="256">
        <f>+K16+L16+M16</f>
        <v>51</v>
      </c>
      <c r="O16" s="235"/>
      <c r="P16" s="234"/>
      <c r="Q16" s="187">
        <f>+P16+O16+N16</f>
        <v>51</v>
      </c>
      <c r="R16" s="183">
        <f>+Q16+J16+F16</f>
        <v>371</v>
      </c>
      <c r="S16" s="215"/>
      <c r="T16" s="215"/>
    </row>
    <row r="17" spans="2:20" ht="15" customHeight="1" thickBot="1" x14ac:dyDescent="0.35">
      <c r="B17" s="26">
        <v>2</v>
      </c>
      <c r="C17" s="216"/>
      <c r="D17" s="217">
        <v>18</v>
      </c>
      <c r="E17" s="218"/>
      <c r="F17" s="177">
        <f t="shared" ref="F17:F46" si="0">+D17+E17</f>
        <v>18</v>
      </c>
      <c r="G17" s="210">
        <v>56</v>
      </c>
      <c r="H17" s="211">
        <v>245</v>
      </c>
      <c r="I17" s="212"/>
      <c r="J17" s="176">
        <f t="shared" ref="J17:J46" si="1">+G17+H17+I17</f>
        <v>301</v>
      </c>
      <c r="K17" s="250">
        <v>25</v>
      </c>
      <c r="L17" s="251">
        <v>27</v>
      </c>
      <c r="M17" s="252"/>
      <c r="N17" s="256">
        <f t="shared" ref="N17:N46" si="2">+K17+L17+M17</f>
        <v>52</v>
      </c>
      <c r="O17" s="235"/>
      <c r="P17" s="234"/>
      <c r="Q17" s="187">
        <f t="shared" ref="Q17:Q46" si="3">+P17+O17+N17</f>
        <v>52</v>
      </c>
      <c r="R17" s="183">
        <f t="shared" ref="R17:R46" si="4">+Q17+J17+F17</f>
        <v>371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35"/>
      <c r="P18" s="23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>
        <v>18</v>
      </c>
      <c r="E20" s="218"/>
      <c r="F20" s="177">
        <f t="shared" si="0"/>
        <v>18</v>
      </c>
      <c r="G20" s="210">
        <v>79</v>
      </c>
      <c r="H20" s="211">
        <v>245</v>
      </c>
      <c r="I20" s="212"/>
      <c r="J20" s="176">
        <f t="shared" si="1"/>
        <v>324</v>
      </c>
      <c r="K20" s="250">
        <v>27</v>
      </c>
      <c r="L20" s="251">
        <v>29</v>
      </c>
      <c r="M20" s="252"/>
      <c r="N20" s="256">
        <f t="shared" si="2"/>
        <v>56</v>
      </c>
      <c r="O20" s="235"/>
      <c r="P20" s="234"/>
      <c r="Q20" s="187">
        <f t="shared" si="3"/>
        <v>56</v>
      </c>
      <c r="R20" s="183">
        <f t="shared" si="4"/>
        <v>398</v>
      </c>
      <c r="S20" s="215"/>
      <c r="T20" s="215"/>
    </row>
    <row r="21" spans="2:20" ht="15" customHeight="1" thickBot="1" x14ac:dyDescent="0.35">
      <c r="B21" s="28">
        <v>6</v>
      </c>
      <c r="C21" s="221"/>
      <c r="D21" s="217">
        <v>27</v>
      </c>
      <c r="E21" s="218"/>
      <c r="F21" s="177">
        <f t="shared" si="0"/>
        <v>27</v>
      </c>
      <c r="G21" s="210">
        <v>65</v>
      </c>
      <c r="H21" s="211">
        <v>245</v>
      </c>
      <c r="I21" s="212"/>
      <c r="J21" s="176">
        <f t="shared" si="1"/>
        <v>310</v>
      </c>
      <c r="K21" s="250">
        <v>26</v>
      </c>
      <c r="L21" s="251">
        <v>30</v>
      </c>
      <c r="M21" s="252"/>
      <c r="N21" s="256">
        <f t="shared" si="2"/>
        <v>56</v>
      </c>
      <c r="O21" s="235"/>
      <c r="P21" s="234"/>
      <c r="Q21" s="187">
        <f t="shared" si="3"/>
        <v>56</v>
      </c>
      <c r="R21" s="183">
        <f t="shared" si="4"/>
        <v>393</v>
      </c>
      <c r="S21" s="215"/>
      <c r="T21" s="215"/>
    </row>
    <row r="22" spans="2:20" ht="15" customHeight="1" thickBot="1" x14ac:dyDescent="0.35">
      <c r="B22" s="26">
        <v>7</v>
      </c>
      <c r="C22" s="216"/>
      <c r="D22" s="217">
        <v>28</v>
      </c>
      <c r="E22" s="218"/>
      <c r="F22" s="177">
        <f t="shared" si="0"/>
        <v>28</v>
      </c>
      <c r="G22" s="210">
        <v>76</v>
      </c>
      <c r="H22" s="211">
        <v>245</v>
      </c>
      <c r="I22" s="212"/>
      <c r="J22" s="176">
        <f t="shared" si="1"/>
        <v>321</v>
      </c>
      <c r="K22" s="250">
        <v>25</v>
      </c>
      <c r="L22" s="251">
        <v>27</v>
      </c>
      <c r="M22" s="252"/>
      <c r="N22" s="256">
        <f t="shared" si="2"/>
        <v>52</v>
      </c>
      <c r="O22" s="235"/>
      <c r="P22" s="234"/>
      <c r="Q22" s="187">
        <f t="shared" si="3"/>
        <v>52</v>
      </c>
      <c r="R22" s="183">
        <f t="shared" si="4"/>
        <v>401</v>
      </c>
      <c r="S22" s="215"/>
      <c r="T22" s="215"/>
    </row>
    <row r="23" spans="2:20" ht="15" customHeight="1" thickBot="1" x14ac:dyDescent="0.35">
      <c r="B23" s="26">
        <v>8</v>
      </c>
      <c r="C23" s="216"/>
      <c r="D23" s="217">
        <v>31</v>
      </c>
      <c r="E23" s="218"/>
      <c r="F23" s="177">
        <f t="shared" si="0"/>
        <v>31</v>
      </c>
      <c r="G23" s="210">
        <v>80</v>
      </c>
      <c r="H23" s="211">
        <v>245</v>
      </c>
      <c r="I23" s="212"/>
      <c r="J23" s="176">
        <f t="shared" si="1"/>
        <v>325</v>
      </c>
      <c r="K23" s="250">
        <v>26</v>
      </c>
      <c r="L23" s="251">
        <v>27</v>
      </c>
      <c r="M23" s="252"/>
      <c r="N23" s="256">
        <f t="shared" si="2"/>
        <v>53</v>
      </c>
      <c r="O23" s="235"/>
      <c r="P23" s="234"/>
      <c r="Q23" s="187">
        <f t="shared" si="3"/>
        <v>53</v>
      </c>
      <c r="R23" s="183">
        <f t="shared" si="4"/>
        <v>409</v>
      </c>
      <c r="S23" s="215"/>
      <c r="T23" s="215"/>
    </row>
    <row r="24" spans="2:20" ht="15" customHeight="1" thickBot="1" x14ac:dyDescent="0.35">
      <c r="B24" s="26">
        <v>9</v>
      </c>
      <c r="C24" s="216"/>
      <c r="D24" s="217">
        <v>21</v>
      </c>
      <c r="E24" s="218"/>
      <c r="F24" s="177">
        <f t="shared" si="0"/>
        <v>21</v>
      </c>
      <c r="G24" s="210">
        <v>89</v>
      </c>
      <c r="H24" s="211">
        <v>245</v>
      </c>
      <c r="I24" s="212"/>
      <c r="J24" s="176">
        <f t="shared" si="1"/>
        <v>334</v>
      </c>
      <c r="K24" s="250">
        <v>22</v>
      </c>
      <c r="L24" s="251">
        <v>28</v>
      </c>
      <c r="M24" s="252"/>
      <c r="N24" s="256">
        <f t="shared" si="2"/>
        <v>50</v>
      </c>
      <c r="O24" s="235"/>
      <c r="P24" s="234"/>
      <c r="Q24" s="187">
        <f t="shared" si="3"/>
        <v>50</v>
      </c>
      <c r="R24" s="183">
        <f t="shared" si="4"/>
        <v>405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35"/>
      <c r="P25" s="23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>
        <v>18</v>
      </c>
      <c r="E27" s="218"/>
      <c r="F27" s="177">
        <f t="shared" si="0"/>
        <v>18</v>
      </c>
      <c r="G27" s="210">
        <v>77</v>
      </c>
      <c r="H27" s="211">
        <v>245</v>
      </c>
      <c r="I27" s="212"/>
      <c r="J27" s="176">
        <f t="shared" si="1"/>
        <v>322</v>
      </c>
      <c r="K27" s="250">
        <v>26</v>
      </c>
      <c r="L27" s="251">
        <v>30</v>
      </c>
      <c r="M27" s="252"/>
      <c r="N27" s="256">
        <f t="shared" si="2"/>
        <v>56</v>
      </c>
      <c r="O27" s="235"/>
      <c r="P27" s="234"/>
      <c r="Q27" s="187">
        <f t="shared" si="3"/>
        <v>56</v>
      </c>
      <c r="R27" s="183">
        <f t="shared" si="4"/>
        <v>396</v>
      </c>
      <c r="S27" s="215"/>
      <c r="T27" s="215"/>
    </row>
    <row r="28" spans="2:20" ht="15" customHeight="1" thickBot="1" x14ac:dyDescent="0.35">
      <c r="B28" s="26">
        <v>13</v>
      </c>
      <c r="C28" s="216"/>
      <c r="D28" s="217">
        <v>13</v>
      </c>
      <c r="E28" s="218"/>
      <c r="F28" s="177">
        <f t="shared" si="0"/>
        <v>13</v>
      </c>
      <c r="G28" s="210">
        <v>80</v>
      </c>
      <c r="H28" s="211">
        <v>245</v>
      </c>
      <c r="I28" s="212"/>
      <c r="J28" s="176">
        <f t="shared" si="1"/>
        <v>325</v>
      </c>
      <c r="K28" s="250">
        <v>25</v>
      </c>
      <c r="L28" s="251">
        <v>34</v>
      </c>
      <c r="M28" s="252"/>
      <c r="N28" s="256">
        <f t="shared" si="2"/>
        <v>59</v>
      </c>
      <c r="O28" s="235"/>
      <c r="P28" s="234"/>
      <c r="Q28" s="187">
        <f t="shared" si="3"/>
        <v>59</v>
      </c>
      <c r="R28" s="183">
        <f t="shared" si="4"/>
        <v>397</v>
      </c>
      <c r="S28" s="215"/>
      <c r="T28" s="215"/>
    </row>
    <row r="29" spans="2:20" ht="15" customHeight="1" thickBot="1" x14ac:dyDescent="0.35">
      <c r="B29" s="26">
        <v>14</v>
      </c>
      <c r="C29" s="216"/>
      <c r="D29" s="217">
        <v>15</v>
      </c>
      <c r="E29" s="218"/>
      <c r="F29" s="177">
        <f t="shared" si="0"/>
        <v>15</v>
      </c>
      <c r="G29" s="210">
        <v>74</v>
      </c>
      <c r="H29" s="211">
        <v>245</v>
      </c>
      <c r="I29" s="212"/>
      <c r="J29" s="176">
        <f t="shared" si="1"/>
        <v>319</v>
      </c>
      <c r="K29" s="250">
        <v>23</v>
      </c>
      <c r="L29" s="251">
        <v>32</v>
      </c>
      <c r="M29" s="252"/>
      <c r="N29" s="256">
        <f t="shared" si="2"/>
        <v>55</v>
      </c>
      <c r="O29" s="235"/>
      <c r="P29" s="234"/>
      <c r="Q29" s="187">
        <f t="shared" si="3"/>
        <v>55</v>
      </c>
      <c r="R29" s="183">
        <f t="shared" si="4"/>
        <v>389</v>
      </c>
      <c r="S29" s="215"/>
      <c r="T29" s="215"/>
    </row>
    <row r="30" spans="2:20" ht="15" customHeight="1" thickBot="1" x14ac:dyDescent="0.35">
      <c r="B30" s="26">
        <v>15</v>
      </c>
      <c r="C30" s="216"/>
      <c r="D30" s="217">
        <v>19</v>
      </c>
      <c r="E30" s="218"/>
      <c r="F30" s="177">
        <f t="shared" si="0"/>
        <v>19</v>
      </c>
      <c r="G30" s="210">
        <v>95</v>
      </c>
      <c r="H30" s="211">
        <v>245</v>
      </c>
      <c r="I30" s="212"/>
      <c r="J30" s="176">
        <f t="shared" si="1"/>
        <v>340</v>
      </c>
      <c r="K30" s="250">
        <v>25</v>
      </c>
      <c r="L30" s="251">
        <v>45</v>
      </c>
      <c r="M30" s="252"/>
      <c r="N30" s="256">
        <f t="shared" si="2"/>
        <v>70</v>
      </c>
      <c r="O30" s="235"/>
      <c r="P30" s="234"/>
      <c r="Q30" s="187">
        <f t="shared" si="3"/>
        <v>70</v>
      </c>
      <c r="R30" s="183">
        <f t="shared" si="4"/>
        <v>429</v>
      </c>
      <c r="S30" s="215"/>
      <c r="T30" s="215"/>
    </row>
    <row r="31" spans="2:20" ht="15" customHeight="1" thickBot="1" x14ac:dyDescent="0.35">
      <c r="B31" s="26">
        <v>16</v>
      </c>
      <c r="C31" s="216"/>
      <c r="D31" s="217">
        <v>15</v>
      </c>
      <c r="E31" s="218"/>
      <c r="F31" s="177">
        <f t="shared" si="0"/>
        <v>15</v>
      </c>
      <c r="G31" s="210">
        <v>63</v>
      </c>
      <c r="H31" s="211">
        <v>245</v>
      </c>
      <c r="I31" s="212"/>
      <c r="J31" s="176">
        <f t="shared" si="1"/>
        <v>308</v>
      </c>
      <c r="K31" s="250">
        <v>24</v>
      </c>
      <c r="L31" s="251">
        <v>32</v>
      </c>
      <c r="M31" s="252"/>
      <c r="N31" s="256">
        <f t="shared" si="2"/>
        <v>56</v>
      </c>
      <c r="O31" s="235"/>
      <c r="P31" s="234"/>
      <c r="Q31" s="187">
        <f t="shared" si="3"/>
        <v>56</v>
      </c>
      <c r="R31" s="183">
        <f t="shared" si="4"/>
        <v>379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35"/>
      <c r="P32" s="23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35"/>
      <c r="P33" s="23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/>
      <c r="M34" s="252"/>
      <c r="N34" s="256">
        <f t="shared" si="2"/>
        <v>0</v>
      </c>
      <c r="O34" s="235"/>
      <c r="P34" s="234"/>
      <c r="Q34" s="187">
        <f t="shared" si="3"/>
        <v>0</v>
      </c>
      <c r="R34" s="183">
        <f t="shared" si="4"/>
        <v>0</v>
      </c>
      <c r="S34" s="215"/>
      <c r="T34" s="215"/>
    </row>
    <row r="35" spans="2:20" ht="15" customHeight="1" thickBot="1" x14ac:dyDescent="0.35">
      <c r="B35" s="28">
        <v>20</v>
      </c>
      <c r="C35" s="221"/>
      <c r="D35" s="217">
        <v>17</v>
      </c>
      <c r="E35" s="218"/>
      <c r="F35" s="177">
        <f t="shared" si="0"/>
        <v>17</v>
      </c>
      <c r="G35" s="210">
        <v>74</v>
      </c>
      <c r="H35" s="211">
        <v>245</v>
      </c>
      <c r="I35" s="212"/>
      <c r="J35" s="176">
        <f t="shared" si="1"/>
        <v>319</v>
      </c>
      <c r="K35" s="250">
        <v>25</v>
      </c>
      <c r="L35" s="251">
        <f>50+28</f>
        <v>78</v>
      </c>
      <c r="M35" s="252"/>
      <c r="N35" s="256">
        <f t="shared" si="2"/>
        <v>103</v>
      </c>
      <c r="O35" s="235"/>
      <c r="P35" s="234"/>
      <c r="Q35" s="187">
        <f t="shared" si="3"/>
        <v>103</v>
      </c>
      <c r="R35" s="183">
        <f t="shared" si="4"/>
        <v>439</v>
      </c>
      <c r="S35" s="215"/>
      <c r="T35" s="215"/>
    </row>
    <row r="36" spans="2:20" ht="15" customHeight="1" thickBot="1" x14ac:dyDescent="0.35">
      <c r="B36" s="26">
        <v>21</v>
      </c>
      <c r="C36" s="216"/>
      <c r="D36" s="217">
        <v>27</v>
      </c>
      <c r="E36" s="218"/>
      <c r="F36" s="177">
        <f t="shared" si="0"/>
        <v>27</v>
      </c>
      <c r="G36" s="210">
        <v>83</v>
      </c>
      <c r="H36" s="211">
        <v>245</v>
      </c>
      <c r="I36" s="212"/>
      <c r="J36" s="176">
        <f t="shared" si="1"/>
        <v>328</v>
      </c>
      <c r="K36" s="250">
        <v>22</v>
      </c>
      <c r="L36" s="251">
        <f>50+29</f>
        <v>79</v>
      </c>
      <c r="M36" s="252"/>
      <c r="N36" s="256">
        <f t="shared" si="2"/>
        <v>101</v>
      </c>
      <c r="O36" s="235"/>
      <c r="P36" s="234"/>
      <c r="Q36" s="187">
        <f t="shared" si="3"/>
        <v>101</v>
      </c>
      <c r="R36" s="183">
        <f t="shared" si="4"/>
        <v>456</v>
      </c>
      <c r="S36" s="215"/>
      <c r="T36" s="215"/>
    </row>
    <row r="37" spans="2:20" ht="15" customHeight="1" thickBot="1" x14ac:dyDescent="0.35">
      <c r="B37" s="26">
        <v>22</v>
      </c>
      <c r="C37" s="216"/>
      <c r="D37" s="217">
        <v>33</v>
      </c>
      <c r="E37" s="218"/>
      <c r="F37" s="177">
        <f t="shared" si="0"/>
        <v>33</v>
      </c>
      <c r="G37" s="210">
        <v>83</v>
      </c>
      <c r="H37" s="211">
        <v>245</v>
      </c>
      <c r="I37" s="212"/>
      <c r="J37" s="176">
        <f t="shared" si="1"/>
        <v>328</v>
      </c>
      <c r="K37" s="250">
        <v>22</v>
      </c>
      <c r="L37" s="251">
        <f>50+30</f>
        <v>80</v>
      </c>
      <c r="M37" s="252"/>
      <c r="N37" s="256">
        <f t="shared" si="2"/>
        <v>102</v>
      </c>
      <c r="O37" s="235"/>
      <c r="P37" s="234"/>
      <c r="Q37" s="187">
        <f t="shared" si="3"/>
        <v>102</v>
      </c>
      <c r="R37" s="183">
        <f t="shared" si="4"/>
        <v>463</v>
      </c>
      <c r="S37" s="215"/>
      <c r="T37" s="215"/>
    </row>
    <row r="38" spans="2:20" ht="15" customHeight="1" thickBot="1" x14ac:dyDescent="0.35">
      <c r="B38" s="26">
        <v>23</v>
      </c>
      <c r="C38" s="216"/>
      <c r="D38" s="217">
        <v>24</v>
      </c>
      <c r="E38" s="218"/>
      <c r="F38" s="177">
        <f t="shared" si="0"/>
        <v>24</v>
      </c>
      <c r="G38" s="210">
        <v>83</v>
      </c>
      <c r="H38" s="211">
        <v>245</v>
      </c>
      <c r="I38" s="212"/>
      <c r="J38" s="176">
        <f t="shared" si="1"/>
        <v>328</v>
      </c>
      <c r="K38" s="250">
        <v>22</v>
      </c>
      <c r="L38" s="251">
        <f>50+42</f>
        <v>92</v>
      </c>
      <c r="M38" s="252"/>
      <c r="N38" s="256">
        <f t="shared" si="2"/>
        <v>114</v>
      </c>
      <c r="O38" s="235"/>
      <c r="P38" s="234"/>
      <c r="Q38" s="187">
        <f t="shared" si="3"/>
        <v>114</v>
      </c>
      <c r="R38" s="183">
        <f t="shared" si="4"/>
        <v>466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35"/>
      <c r="P39" s="23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35"/>
      <c r="P40" s="23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>
        <v>37</v>
      </c>
      <c r="E41" s="218"/>
      <c r="F41" s="177">
        <f t="shared" si="0"/>
        <v>37</v>
      </c>
      <c r="G41" s="210">
        <v>84</v>
      </c>
      <c r="H41" s="211">
        <v>245</v>
      </c>
      <c r="I41" s="212"/>
      <c r="J41" s="176">
        <f t="shared" si="1"/>
        <v>329</v>
      </c>
      <c r="K41" s="250">
        <v>23</v>
      </c>
      <c r="L41" s="251">
        <f>50+27</f>
        <v>77</v>
      </c>
      <c r="M41" s="252"/>
      <c r="N41" s="256">
        <f t="shared" si="2"/>
        <v>100</v>
      </c>
      <c r="O41" s="235"/>
      <c r="P41" s="234"/>
      <c r="Q41" s="187">
        <f t="shared" si="3"/>
        <v>100</v>
      </c>
      <c r="R41" s="183">
        <f t="shared" si="4"/>
        <v>466</v>
      </c>
      <c r="S41" s="215"/>
      <c r="T41" s="215"/>
    </row>
    <row r="42" spans="2:20" ht="15" customHeight="1" thickBot="1" x14ac:dyDescent="0.35">
      <c r="B42" s="26">
        <v>27</v>
      </c>
      <c r="C42" s="216"/>
      <c r="D42" s="217">
        <v>29</v>
      </c>
      <c r="E42" s="218"/>
      <c r="F42" s="177">
        <f t="shared" si="0"/>
        <v>29</v>
      </c>
      <c r="G42" s="210">
        <v>65</v>
      </c>
      <c r="H42" s="211">
        <v>245</v>
      </c>
      <c r="I42" s="212"/>
      <c r="J42" s="176">
        <f t="shared" si="1"/>
        <v>310</v>
      </c>
      <c r="K42" s="250">
        <v>24</v>
      </c>
      <c r="L42" s="251">
        <f>50+30</f>
        <v>80</v>
      </c>
      <c r="M42" s="252"/>
      <c r="N42" s="256">
        <f t="shared" si="2"/>
        <v>104</v>
      </c>
      <c r="O42" s="235"/>
      <c r="P42" s="234"/>
      <c r="Q42" s="187">
        <f t="shared" si="3"/>
        <v>104</v>
      </c>
      <c r="R42" s="183">
        <f t="shared" si="4"/>
        <v>443</v>
      </c>
      <c r="S42" s="215"/>
      <c r="T42" s="215"/>
    </row>
    <row r="43" spans="2:20" ht="15" customHeight="1" thickBot="1" x14ac:dyDescent="0.35">
      <c r="B43" s="26">
        <v>28</v>
      </c>
      <c r="C43" s="216"/>
      <c r="D43" s="217">
        <v>25</v>
      </c>
      <c r="E43" s="218"/>
      <c r="F43" s="177">
        <f t="shared" si="0"/>
        <v>25</v>
      </c>
      <c r="G43" s="210">
        <v>85</v>
      </c>
      <c r="H43" s="211">
        <v>245</v>
      </c>
      <c r="I43" s="212"/>
      <c r="J43" s="176">
        <f t="shared" si="1"/>
        <v>330</v>
      </c>
      <c r="K43" s="250">
        <v>25</v>
      </c>
      <c r="L43" s="251">
        <f>50+32</f>
        <v>82</v>
      </c>
      <c r="M43" s="252"/>
      <c r="N43" s="256">
        <f t="shared" si="2"/>
        <v>107</v>
      </c>
      <c r="O43" s="235"/>
      <c r="P43" s="234"/>
      <c r="Q43" s="187">
        <f t="shared" si="3"/>
        <v>107</v>
      </c>
      <c r="R43" s="183">
        <f t="shared" si="4"/>
        <v>462</v>
      </c>
      <c r="S43" s="202"/>
      <c r="T43" s="215"/>
    </row>
    <row r="44" spans="2:20" ht="15" customHeight="1" thickBot="1" x14ac:dyDescent="0.35">
      <c r="B44" s="26">
        <v>29</v>
      </c>
      <c r="C44" s="216"/>
      <c r="D44" s="217">
        <v>33</v>
      </c>
      <c r="E44" s="218"/>
      <c r="F44" s="177">
        <f t="shared" si="0"/>
        <v>33</v>
      </c>
      <c r="G44" s="210">
        <v>88</v>
      </c>
      <c r="H44" s="211">
        <v>245</v>
      </c>
      <c r="I44" s="212"/>
      <c r="J44" s="176">
        <f t="shared" si="1"/>
        <v>333</v>
      </c>
      <c r="K44" s="250">
        <v>25</v>
      </c>
      <c r="L44" s="251">
        <f>50+34</f>
        <v>84</v>
      </c>
      <c r="M44" s="252"/>
      <c r="N44" s="256">
        <f t="shared" si="2"/>
        <v>109</v>
      </c>
      <c r="O44" s="235"/>
      <c r="P44" s="234"/>
      <c r="Q44" s="187">
        <f t="shared" si="3"/>
        <v>109</v>
      </c>
      <c r="R44" s="183">
        <f t="shared" si="4"/>
        <v>475</v>
      </c>
      <c r="T44" s="215"/>
    </row>
    <row r="45" spans="2:20" ht="15" customHeight="1" thickBot="1" x14ac:dyDescent="0.35">
      <c r="B45" s="26">
        <v>30</v>
      </c>
      <c r="C45" s="216"/>
      <c r="D45" s="217">
        <v>35</v>
      </c>
      <c r="E45" s="218"/>
      <c r="F45" s="177">
        <f t="shared" si="0"/>
        <v>35</v>
      </c>
      <c r="G45" s="210">
        <v>91</v>
      </c>
      <c r="H45" s="211">
        <v>245</v>
      </c>
      <c r="I45" s="212"/>
      <c r="J45" s="176">
        <f t="shared" si="1"/>
        <v>336</v>
      </c>
      <c r="K45" s="250">
        <v>24</v>
      </c>
      <c r="L45" s="251">
        <f>50+29</f>
        <v>79</v>
      </c>
      <c r="M45" s="252"/>
      <c r="N45" s="256">
        <f t="shared" si="2"/>
        <v>103</v>
      </c>
      <c r="O45" s="235"/>
      <c r="P45" s="234"/>
      <c r="Q45" s="187">
        <f t="shared" si="3"/>
        <v>103</v>
      </c>
      <c r="R45" s="183">
        <f t="shared" si="4"/>
        <v>474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500</v>
      </c>
      <c r="E48" s="179">
        <f>SUM(E16:E46)</f>
        <v>0</v>
      </c>
      <c r="F48" s="172">
        <f>SUM(F16:F46)</f>
        <v>500</v>
      </c>
      <c r="G48" s="180">
        <f t="shared" si="5"/>
        <v>1628</v>
      </c>
      <c r="H48" s="181">
        <f t="shared" si="5"/>
        <v>5145</v>
      </c>
      <c r="I48" s="182">
        <f t="shared" si="5"/>
        <v>0</v>
      </c>
      <c r="J48" s="175">
        <f>SUM(J16:J46)</f>
        <v>6773</v>
      </c>
      <c r="K48" s="261">
        <f t="shared" si="5"/>
        <v>511</v>
      </c>
      <c r="L48" s="259">
        <f t="shared" si="5"/>
        <v>1098</v>
      </c>
      <c r="M48" s="260">
        <f t="shared" si="5"/>
        <v>0</v>
      </c>
      <c r="N48" s="258">
        <f>SUM(N16:N46)</f>
        <v>1609</v>
      </c>
      <c r="O48" s="195">
        <f t="shared" si="5"/>
        <v>0</v>
      </c>
      <c r="P48" s="195">
        <f t="shared" si="5"/>
        <v>0</v>
      </c>
      <c r="Q48" s="194">
        <f>SUM(Q16:Q46)</f>
        <v>1609</v>
      </c>
      <c r="R48" s="185">
        <f>SUM(R16:R46)</f>
        <v>8882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>
        <f>SUM(K48:M48)</f>
        <v>1609</v>
      </c>
      <c r="O50" s="215"/>
      <c r="P50" s="215"/>
      <c r="Q50" s="215"/>
      <c r="R50" s="215">
        <f>+F48+J48+Q48</f>
        <v>8882</v>
      </c>
    </row>
    <row r="51" spans="2:18" x14ac:dyDescent="0.3">
      <c r="H51" s="215"/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showGridLines="0" topLeftCell="A34" zoomScale="70" zoomScaleNormal="70" workbookViewId="0">
      <selection activeCell="M46" sqref="M46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248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507"/>
      <c r="H14" s="508" t="s">
        <v>29</v>
      </c>
      <c r="I14" s="508"/>
      <c r="J14" s="50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244</v>
      </c>
      <c r="H15" s="161" t="s">
        <v>243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326</v>
      </c>
      <c r="L16" s="251">
        <f>3950+102</f>
        <v>4052</v>
      </c>
      <c r="M16" s="252"/>
      <c r="N16" s="256">
        <f>+K16+L16+M16</f>
        <v>4378</v>
      </c>
      <c r="O16" s="235"/>
      <c r="P16" s="234"/>
      <c r="Q16" s="187">
        <f>+P16+O16+N16</f>
        <v>4378</v>
      </c>
      <c r="R16" s="183">
        <f>+Q16+J16+F16</f>
        <v>4378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319</v>
      </c>
      <c r="L17" s="251">
        <f>4234+216</f>
        <v>4450</v>
      </c>
      <c r="M17" s="252"/>
      <c r="N17" s="256">
        <f t="shared" ref="N17:N46" si="2">+K17+L17+M17</f>
        <v>4769</v>
      </c>
      <c r="O17" s="235"/>
      <c r="P17" s="234"/>
      <c r="Q17" s="187">
        <f t="shared" ref="Q17:Q46" si="3">+P17+O17+N17</f>
        <v>4769</v>
      </c>
      <c r="R17" s="183">
        <f t="shared" ref="R17:R46" si="4">+Q17+J17+F17</f>
        <v>4769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300</v>
      </c>
      <c r="L18" s="251">
        <v>1554</v>
      </c>
      <c r="M18" s="252"/>
      <c r="N18" s="256">
        <f t="shared" si="2"/>
        <v>1854</v>
      </c>
      <c r="O18" s="235"/>
      <c r="P18" s="234"/>
      <c r="Q18" s="187">
        <f t="shared" si="3"/>
        <v>1854</v>
      </c>
      <c r="R18" s="183">
        <f t="shared" si="4"/>
        <v>1854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 t="s">
        <v>38</v>
      </c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f>427+46</f>
        <v>473</v>
      </c>
      <c r="L20" s="251">
        <f>6177+679</f>
        <v>6856</v>
      </c>
      <c r="M20" s="252">
        <f>2387+50</f>
        <v>2437</v>
      </c>
      <c r="N20" s="256">
        <f t="shared" si="2"/>
        <v>9766</v>
      </c>
      <c r="O20" s="235"/>
      <c r="P20" s="234"/>
      <c r="Q20" s="187">
        <f t="shared" si="3"/>
        <v>9766</v>
      </c>
      <c r="R20" s="183">
        <f t="shared" si="4"/>
        <v>9766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f>356+68</f>
        <v>424</v>
      </c>
      <c r="L21" s="251">
        <f>7034+894+50</f>
        <v>7978</v>
      </c>
      <c r="M21" s="252">
        <f>1812+120</f>
        <v>1932</v>
      </c>
      <c r="N21" s="256">
        <f t="shared" si="2"/>
        <v>10334</v>
      </c>
      <c r="O21" s="235"/>
      <c r="P21" s="234"/>
      <c r="Q21" s="187">
        <f t="shared" si="3"/>
        <v>10334</v>
      </c>
      <c r="R21" s="183">
        <f t="shared" si="4"/>
        <v>10334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f>516+63</f>
        <v>579</v>
      </c>
      <c r="L22" s="251">
        <f>7618+1907+125</f>
        <v>9650</v>
      </c>
      <c r="M22" s="252">
        <f>2289+140</f>
        <v>2429</v>
      </c>
      <c r="N22" s="256">
        <f t="shared" si="2"/>
        <v>12658</v>
      </c>
      <c r="O22" s="235"/>
      <c r="P22" s="234"/>
      <c r="Q22" s="187">
        <f t="shared" si="3"/>
        <v>12658</v>
      </c>
      <c r="R22" s="183">
        <f t="shared" si="4"/>
        <v>12658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f>382+57</f>
        <v>439</v>
      </c>
      <c r="L23" s="251">
        <f>8121+819+122</f>
        <v>9062</v>
      </c>
      <c r="M23" s="252">
        <f>2491+100</f>
        <v>2591</v>
      </c>
      <c r="N23" s="256">
        <f t="shared" si="2"/>
        <v>12092</v>
      </c>
      <c r="O23" s="235"/>
      <c r="P23" s="234"/>
      <c r="Q23" s="187">
        <f t="shared" si="3"/>
        <v>12092</v>
      </c>
      <c r="R23" s="183">
        <f t="shared" si="4"/>
        <v>12092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f>403+68</f>
        <v>471</v>
      </c>
      <c r="L24" s="251">
        <f>8079+720+77</f>
        <v>8876</v>
      </c>
      <c r="M24" s="252">
        <f>1943+142</f>
        <v>2085</v>
      </c>
      <c r="N24" s="256">
        <f t="shared" si="2"/>
        <v>11432</v>
      </c>
      <c r="O24" s="235"/>
      <c r="P24" s="234"/>
      <c r="Q24" s="187">
        <f t="shared" si="3"/>
        <v>11432</v>
      </c>
      <c r="R24" s="183">
        <f t="shared" si="4"/>
        <v>11432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134</v>
      </c>
      <c r="L25" s="251">
        <f>3311+169+40</f>
        <v>3520</v>
      </c>
      <c r="M25" s="252"/>
      <c r="N25" s="256">
        <f t="shared" si="2"/>
        <v>3654</v>
      </c>
      <c r="O25" s="235"/>
      <c r="P25" s="234"/>
      <c r="Q25" s="187">
        <f t="shared" si="3"/>
        <v>3654</v>
      </c>
      <c r="R25" s="183">
        <f t="shared" si="4"/>
        <v>3654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f>428+63</f>
        <v>491</v>
      </c>
      <c r="L27" s="251">
        <f>8049+599+132</f>
        <v>8780</v>
      </c>
      <c r="M27" s="252">
        <f>2319+50</f>
        <v>2369</v>
      </c>
      <c r="N27" s="256">
        <f t="shared" si="2"/>
        <v>11640</v>
      </c>
      <c r="O27" s="235"/>
      <c r="P27" s="234"/>
      <c r="Q27" s="187">
        <f t="shared" si="3"/>
        <v>11640</v>
      </c>
      <c r="R27" s="183">
        <f t="shared" si="4"/>
        <v>11640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f>344+124</f>
        <v>468</v>
      </c>
      <c r="L28" s="251">
        <f>8954+945+137</f>
        <v>10036</v>
      </c>
      <c r="M28" s="252">
        <f>3013+90</f>
        <v>3103</v>
      </c>
      <c r="N28" s="256">
        <f t="shared" si="2"/>
        <v>13607</v>
      </c>
      <c r="O28" s="235"/>
      <c r="P28" s="234"/>
      <c r="Q28" s="187">
        <f t="shared" si="3"/>
        <v>13607</v>
      </c>
      <c r="R28" s="183">
        <f t="shared" si="4"/>
        <v>13607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f>518+99</f>
        <v>617</v>
      </c>
      <c r="L29" s="251">
        <f>10088+1282+200</f>
        <v>11570</v>
      </c>
      <c r="M29" s="252">
        <f>3419+100</f>
        <v>3519</v>
      </c>
      <c r="N29" s="256">
        <f t="shared" si="2"/>
        <v>15706</v>
      </c>
      <c r="O29" s="235"/>
      <c r="P29" s="234"/>
      <c r="Q29" s="187">
        <f t="shared" si="3"/>
        <v>15706</v>
      </c>
      <c r="R29" s="183">
        <f t="shared" si="4"/>
        <v>15706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f>83+317</f>
        <v>400</v>
      </c>
      <c r="L30" s="251">
        <f>3946+104</f>
        <v>4050</v>
      </c>
      <c r="M30" s="252">
        <f>6889+141</f>
        <v>7030</v>
      </c>
      <c r="N30" s="256">
        <f t="shared" si="2"/>
        <v>11480</v>
      </c>
      <c r="O30" s="235"/>
      <c r="P30" s="234"/>
      <c r="Q30" s="187">
        <f t="shared" si="3"/>
        <v>11480</v>
      </c>
      <c r="R30" s="183">
        <f t="shared" si="4"/>
        <v>11480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f>391+89</f>
        <v>480</v>
      </c>
      <c r="L31" s="251">
        <f>6383+684+167</f>
        <v>7234</v>
      </c>
      <c r="M31" s="252">
        <f>3624+90</f>
        <v>3714</v>
      </c>
      <c r="N31" s="256">
        <f t="shared" si="2"/>
        <v>11428</v>
      </c>
      <c r="O31" s="235"/>
      <c r="P31" s="234"/>
      <c r="Q31" s="187">
        <f t="shared" si="3"/>
        <v>11428</v>
      </c>
      <c r="R31" s="183">
        <f t="shared" si="4"/>
        <v>11428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f>219</f>
        <v>219</v>
      </c>
      <c r="L32" s="251">
        <f>3201+94+40</f>
        <v>3335</v>
      </c>
      <c r="M32" s="252"/>
      <c r="N32" s="256">
        <f t="shared" si="2"/>
        <v>3554</v>
      </c>
      <c r="O32" s="235"/>
      <c r="P32" s="234"/>
      <c r="Q32" s="187">
        <f t="shared" si="3"/>
        <v>3554</v>
      </c>
      <c r="R32" s="183">
        <f t="shared" si="4"/>
        <v>3554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35"/>
      <c r="P33" s="23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/>
      <c r="M34" s="252"/>
      <c r="N34" s="256">
        <f t="shared" si="2"/>
        <v>0</v>
      </c>
      <c r="O34" s="235"/>
      <c r="P34" s="234"/>
      <c r="Q34" s="187">
        <f t="shared" si="3"/>
        <v>0</v>
      </c>
      <c r="R34" s="183">
        <f t="shared" si="4"/>
        <v>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/>
      <c r="L35" s="251"/>
      <c r="M35" s="252"/>
      <c r="N35" s="256">
        <f t="shared" si="2"/>
        <v>0</v>
      </c>
      <c r="O35" s="235"/>
      <c r="P35" s="234"/>
      <c r="Q35" s="187">
        <f t="shared" si="3"/>
        <v>0</v>
      </c>
      <c r="R35" s="183">
        <f t="shared" si="4"/>
        <v>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f>338+74</f>
        <v>412</v>
      </c>
      <c r="L36" s="251">
        <f>6535+661+135</f>
        <v>7331</v>
      </c>
      <c r="M36" s="252">
        <f>2928+118</f>
        <v>3046</v>
      </c>
      <c r="N36" s="256">
        <f t="shared" si="2"/>
        <v>10789</v>
      </c>
      <c r="O36" s="235"/>
      <c r="P36" s="234"/>
      <c r="Q36" s="187">
        <f t="shared" si="3"/>
        <v>10789</v>
      </c>
      <c r="R36" s="183">
        <f t="shared" si="4"/>
        <v>10789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f>363+95</f>
        <v>458</v>
      </c>
      <c r="L37" s="251">
        <f>6971+875+160</f>
        <v>8006</v>
      </c>
      <c r="M37" s="252">
        <f>3353+135</f>
        <v>3488</v>
      </c>
      <c r="N37" s="256">
        <f t="shared" si="2"/>
        <v>11952</v>
      </c>
      <c r="O37" s="235"/>
      <c r="P37" s="234"/>
      <c r="Q37" s="187">
        <f t="shared" si="3"/>
        <v>11952</v>
      </c>
      <c r="R37" s="183">
        <f t="shared" si="4"/>
        <v>11952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f>332+79</f>
        <v>411</v>
      </c>
      <c r="L38" s="251">
        <f>6634+666+170</f>
        <v>7470</v>
      </c>
      <c r="M38" s="252">
        <f>2224+90</f>
        <v>2314</v>
      </c>
      <c r="N38" s="256">
        <f t="shared" si="2"/>
        <v>10195</v>
      </c>
      <c r="O38" s="235"/>
      <c r="P38" s="234"/>
      <c r="Q38" s="187">
        <f t="shared" si="3"/>
        <v>10195</v>
      </c>
      <c r="R38" s="183">
        <f t="shared" si="4"/>
        <v>10195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35"/>
      <c r="P39" s="23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35"/>
      <c r="P40" s="23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f>325+81</f>
        <v>406</v>
      </c>
      <c r="L41" s="251">
        <f>6067+647+80</f>
        <v>6794</v>
      </c>
      <c r="M41" s="252">
        <f>3309+90</f>
        <v>3399</v>
      </c>
      <c r="N41" s="256">
        <f t="shared" si="2"/>
        <v>10599</v>
      </c>
      <c r="O41" s="235"/>
      <c r="P41" s="234"/>
      <c r="Q41" s="187">
        <f t="shared" si="3"/>
        <v>10599</v>
      </c>
      <c r="R41" s="183">
        <f t="shared" si="4"/>
        <v>10599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f>388+75</f>
        <v>463</v>
      </c>
      <c r="L42" s="251">
        <f>6196+802+153</f>
        <v>7151</v>
      </c>
      <c r="M42" s="252">
        <f>3024+90</f>
        <v>3114</v>
      </c>
      <c r="N42" s="256">
        <f t="shared" si="2"/>
        <v>10728</v>
      </c>
      <c r="O42" s="235"/>
      <c r="P42" s="234"/>
      <c r="Q42" s="187">
        <f t="shared" si="3"/>
        <v>10728</v>
      </c>
      <c r="R42" s="183">
        <f t="shared" si="4"/>
        <v>10728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f>329+84</f>
        <v>413</v>
      </c>
      <c r="L43" s="251">
        <f>6448+544+148</f>
        <v>7140</v>
      </c>
      <c r="M43" s="252">
        <f>2631+90</f>
        <v>2721</v>
      </c>
      <c r="N43" s="256">
        <f t="shared" si="2"/>
        <v>10274</v>
      </c>
      <c r="O43" s="235"/>
      <c r="P43" s="234"/>
      <c r="Q43" s="187">
        <f t="shared" si="3"/>
        <v>10274</v>
      </c>
      <c r="R43" s="183">
        <f t="shared" si="4"/>
        <v>10274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f>319+72</f>
        <v>391</v>
      </c>
      <c r="L44" s="251">
        <f>6073+976+149</f>
        <v>7198</v>
      </c>
      <c r="M44" s="252">
        <f>2474+90</f>
        <v>2564</v>
      </c>
      <c r="N44" s="256">
        <f t="shared" si="2"/>
        <v>10153</v>
      </c>
      <c r="O44" s="235"/>
      <c r="P44" s="234"/>
      <c r="Q44" s="187">
        <f t="shared" si="3"/>
        <v>10153</v>
      </c>
      <c r="R44" s="183">
        <f t="shared" si="4"/>
        <v>10153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f>308+63</f>
        <v>371</v>
      </c>
      <c r="L45" s="251">
        <f>6059+716+159</f>
        <v>6934</v>
      </c>
      <c r="M45" s="252">
        <f>2715+90</f>
        <v>2805</v>
      </c>
      <c r="N45" s="256">
        <f t="shared" si="2"/>
        <v>10110</v>
      </c>
      <c r="O45" s="235"/>
      <c r="P45" s="234"/>
      <c r="Q45" s="187">
        <f t="shared" si="3"/>
        <v>10110</v>
      </c>
      <c r="R45" s="183">
        <f t="shared" si="4"/>
        <v>10110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9465</v>
      </c>
      <c r="L48" s="259">
        <f t="shared" si="5"/>
        <v>159027</v>
      </c>
      <c r="M48" s="260">
        <f t="shared" si="5"/>
        <v>54660</v>
      </c>
      <c r="N48" s="258">
        <f>SUM(N16:N46)</f>
        <v>223152</v>
      </c>
      <c r="O48" s="195">
        <f t="shared" si="5"/>
        <v>0</v>
      </c>
      <c r="P48" s="195">
        <f t="shared" si="5"/>
        <v>0</v>
      </c>
      <c r="Q48" s="194">
        <f>SUM(Q16:Q46)</f>
        <v>223152</v>
      </c>
      <c r="R48" s="185">
        <f>SUM(R16:R46)</f>
        <v>223152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>
        <f>SUM(K48:M48)</f>
        <v>223152</v>
      </c>
      <c r="O50" s="215"/>
      <c r="P50" s="215"/>
      <c r="Q50" s="215"/>
      <c r="R50" s="215">
        <f>+F48+J48+Q48</f>
        <v>223152</v>
      </c>
    </row>
    <row r="51" spans="2:18" x14ac:dyDescent="0.3">
      <c r="H51" s="215"/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opLeftCell="A34" workbookViewId="0">
      <selection activeCell="M45" sqref="M45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255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515"/>
      <c r="H14" s="516" t="s">
        <v>29</v>
      </c>
      <c r="I14" s="516"/>
      <c r="J14" s="517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244</v>
      </c>
      <c r="H15" s="161" t="s">
        <v>243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/>
      <c r="L16" s="251"/>
      <c r="M16" s="252"/>
      <c r="N16" s="256">
        <f>+K16+L16+M16</f>
        <v>0</v>
      </c>
      <c r="O16" s="235"/>
      <c r="P16" s="234"/>
      <c r="Q16" s="187">
        <f>+P16+O16+N16</f>
        <v>0</v>
      </c>
      <c r="R16" s="183">
        <f>+Q16+J16+F16</f>
        <v>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/>
      <c r="L17" s="251"/>
      <c r="M17" s="252"/>
      <c r="N17" s="256">
        <f t="shared" ref="N17:N46" si="2">+K17+L17+M17</f>
        <v>0</v>
      </c>
      <c r="O17" s="235"/>
      <c r="P17" s="234"/>
      <c r="Q17" s="187">
        <f t="shared" ref="Q17:Q46" si="3">+P17+O17+N17</f>
        <v>0</v>
      </c>
      <c r="R17" s="183">
        <f t="shared" ref="R17:R46" si="4">+Q17+J17+F17</f>
        <v>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35"/>
      <c r="P18" s="23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35"/>
      <c r="P19" s="23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36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/>
      <c r="L20" s="251"/>
      <c r="M20" s="252"/>
      <c r="N20" s="256">
        <f t="shared" si="2"/>
        <v>0</v>
      </c>
      <c r="O20" s="235"/>
      <c r="P20" s="234"/>
      <c r="Q20" s="187">
        <f t="shared" si="3"/>
        <v>0</v>
      </c>
      <c r="R20" s="183">
        <f t="shared" si="4"/>
        <v>0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/>
      <c r="L21" s="251"/>
      <c r="M21" s="252"/>
      <c r="N21" s="256">
        <f t="shared" si="2"/>
        <v>0</v>
      </c>
      <c r="O21" s="235"/>
      <c r="P21" s="234"/>
      <c r="Q21" s="187">
        <f t="shared" si="3"/>
        <v>0</v>
      </c>
      <c r="R21" s="183">
        <f t="shared" si="4"/>
        <v>0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/>
      <c r="L22" s="251"/>
      <c r="M22" s="252"/>
      <c r="N22" s="256">
        <f t="shared" si="2"/>
        <v>0</v>
      </c>
      <c r="O22" s="235"/>
      <c r="P22" s="234"/>
      <c r="Q22" s="187">
        <f t="shared" si="3"/>
        <v>0</v>
      </c>
      <c r="R22" s="183">
        <f t="shared" si="4"/>
        <v>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/>
      <c r="L23" s="251"/>
      <c r="M23" s="252"/>
      <c r="N23" s="256">
        <f t="shared" si="2"/>
        <v>0</v>
      </c>
      <c r="O23" s="235"/>
      <c r="P23" s="234"/>
      <c r="Q23" s="187">
        <f t="shared" si="3"/>
        <v>0</v>
      </c>
      <c r="R23" s="183">
        <f t="shared" si="4"/>
        <v>0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/>
      <c r="L24" s="251"/>
      <c r="M24" s="252"/>
      <c r="N24" s="256">
        <f t="shared" si="2"/>
        <v>0</v>
      </c>
      <c r="O24" s="235"/>
      <c r="P24" s="234"/>
      <c r="Q24" s="187">
        <f t="shared" si="3"/>
        <v>0</v>
      </c>
      <c r="R24" s="183">
        <f t="shared" si="4"/>
        <v>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35"/>
      <c r="P25" s="23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35"/>
      <c r="P26" s="23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/>
      <c r="L27" s="251"/>
      <c r="M27" s="252"/>
      <c r="N27" s="256">
        <f t="shared" si="2"/>
        <v>0</v>
      </c>
      <c r="O27" s="235"/>
      <c r="P27" s="234"/>
      <c r="Q27" s="187">
        <f t="shared" si="3"/>
        <v>0</v>
      </c>
      <c r="R27" s="183">
        <f t="shared" si="4"/>
        <v>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/>
      <c r="L28" s="251"/>
      <c r="M28" s="252"/>
      <c r="N28" s="256">
        <f t="shared" si="2"/>
        <v>0</v>
      </c>
      <c r="O28" s="235"/>
      <c r="P28" s="234"/>
      <c r="Q28" s="187">
        <f t="shared" si="3"/>
        <v>0</v>
      </c>
      <c r="R28" s="183">
        <f t="shared" si="4"/>
        <v>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/>
      <c r="L29" s="251"/>
      <c r="M29" s="252"/>
      <c r="N29" s="256">
        <f t="shared" si="2"/>
        <v>0</v>
      </c>
      <c r="O29" s="235"/>
      <c r="P29" s="234"/>
      <c r="Q29" s="187">
        <f t="shared" si="3"/>
        <v>0</v>
      </c>
      <c r="R29" s="183">
        <f t="shared" si="4"/>
        <v>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/>
      <c r="L30" s="251"/>
      <c r="M30" s="252"/>
      <c r="N30" s="256">
        <f t="shared" si="2"/>
        <v>0</v>
      </c>
      <c r="O30" s="235"/>
      <c r="P30" s="234"/>
      <c r="Q30" s="187">
        <f t="shared" si="3"/>
        <v>0</v>
      </c>
      <c r="R30" s="183">
        <f t="shared" si="4"/>
        <v>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/>
      <c r="L31" s="251"/>
      <c r="M31" s="252"/>
      <c r="N31" s="256">
        <f t="shared" si="2"/>
        <v>0</v>
      </c>
      <c r="O31" s="235"/>
      <c r="P31" s="234"/>
      <c r="Q31" s="187">
        <f t="shared" si="3"/>
        <v>0</v>
      </c>
      <c r="R31" s="183">
        <f t="shared" si="4"/>
        <v>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35"/>
      <c r="P32" s="23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35"/>
      <c r="P33" s="23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/>
      <c r="L34" s="251"/>
      <c r="M34" s="252"/>
      <c r="N34" s="256">
        <f t="shared" si="2"/>
        <v>0</v>
      </c>
      <c r="O34" s="235"/>
      <c r="P34" s="234"/>
      <c r="Q34" s="187">
        <f t="shared" si="3"/>
        <v>0</v>
      </c>
      <c r="R34" s="183">
        <f t="shared" si="4"/>
        <v>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/>
      <c r="L35" s="251"/>
      <c r="M35" s="252"/>
      <c r="N35" s="256">
        <f t="shared" si="2"/>
        <v>0</v>
      </c>
      <c r="O35" s="235"/>
      <c r="P35" s="234"/>
      <c r="Q35" s="187">
        <f t="shared" si="3"/>
        <v>0</v>
      </c>
      <c r="R35" s="183">
        <f t="shared" si="4"/>
        <v>0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/>
      <c r="L36" s="251">
        <f>3375+270</f>
        <v>3645</v>
      </c>
      <c r="M36" s="252"/>
      <c r="N36" s="256">
        <f t="shared" si="2"/>
        <v>3645</v>
      </c>
      <c r="O36" s="235"/>
      <c r="P36" s="234"/>
      <c r="Q36" s="187">
        <f t="shared" si="3"/>
        <v>3645</v>
      </c>
      <c r="R36" s="183">
        <f t="shared" si="4"/>
        <v>3645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/>
      <c r="L37" s="251">
        <f>108+1215+144+34+135+68</f>
        <v>1704</v>
      </c>
      <c r="M37" s="252"/>
      <c r="N37" s="256">
        <f t="shared" si="2"/>
        <v>1704</v>
      </c>
      <c r="O37" s="235"/>
      <c r="P37" s="234"/>
      <c r="Q37" s="187">
        <f t="shared" si="3"/>
        <v>1704</v>
      </c>
      <c r="R37" s="183">
        <f t="shared" si="4"/>
        <v>1704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/>
      <c r="L38" s="251">
        <f>38+270+675+108+405+338+270+466</f>
        <v>2570</v>
      </c>
      <c r="M38" s="252"/>
      <c r="N38" s="256">
        <f t="shared" si="2"/>
        <v>2570</v>
      </c>
      <c r="O38" s="235"/>
      <c r="P38" s="234"/>
      <c r="Q38" s="187">
        <f t="shared" si="3"/>
        <v>2570</v>
      </c>
      <c r="R38" s="183">
        <f t="shared" si="4"/>
        <v>2570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>
        <f>365+270+675+1080+135+68+68+68+108+203</f>
        <v>3040</v>
      </c>
      <c r="M39" s="252"/>
      <c r="N39" s="256">
        <f t="shared" si="2"/>
        <v>3040</v>
      </c>
      <c r="O39" s="235"/>
      <c r="P39" s="234"/>
      <c r="Q39" s="187">
        <f t="shared" si="3"/>
        <v>3040</v>
      </c>
      <c r="R39" s="183">
        <f t="shared" si="4"/>
        <v>3040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>
        <v>1134</v>
      </c>
      <c r="M40" s="252"/>
      <c r="N40" s="256">
        <f t="shared" si="2"/>
        <v>1134</v>
      </c>
      <c r="O40" s="235"/>
      <c r="P40" s="234"/>
      <c r="Q40" s="187">
        <f t="shared" si="3"/>
        <v>1134</v>
      </c>
      <c r="R40" s="183">
        <f t="shared" si="4"/>
        <v>1134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/>
      <c r="L41" s="251">
        <f>135+405+338+135+135+135+405</f>
        <v>1688</v>
      </c>
      <c r="M41" s="252"/>
      <c r="N41" s="256">
        <f t="shared" si="2"/>
        <v>1688</v>
      </c>
      <c r="O41" s="235"/>
      <c r="P41" s="234"/>
      <c r="Q41" s="187">
        <f t="shared" si="3"/>
        <v>1688</v>
      </c>
      <c r="R41" s="183">
        <f t="shared" si="4"/>
        <v>1688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/>
      <c r="L42" s="251">
        <f>405+1046+108+135+378</f>
        <v>2072</v>
      </c>
      <c r="M42" s="252"/>
      <c r="N42" s="256">
        <f t="shared" si="2"/>
        <v>2072</v>
      </c>
      <c r="O42" s="235"/>
      <c r="P42" s="234"/>
      <c r="Q42" s="187">
        <f t="shared" si="3"/>
        <v>2072</v>
      </c>
      <c r="R42" s="183">
        <f t="shared" si="4"/>
        <v>2072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/>
      <c r="L43" s="251">
        <f>122+405+203+290+203+338+34</f>
        <v>1595</v>
      </c>
      <c r="M43" s="252"/>
      <c r="N43" s="256">
        <f t="shared" si="2"/>
        <v>1595</v>
      </c>
      <c r="O43" s="235"/>
      <c r="P43" s="234"/>
      <c r="Q43" s="187">
        <f t="shared" si="3"/>
        <v>1595</v>
      </c>
      <c r="R43" s="183">
        <f t="shared" si="4"/>
        <v>1595</v>
      </c>
      <c r="S43" s="202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/>
      <c r="L44" s="251">
        <f>60+80+400+250+100+250</f>
        <v>1140</v>
      </c>
      <c r="M44" s="252"/>
      <c r="N44" s="256">
        <f t="shared" si="2"/>
        <v>1140</v>
      </c>
      <c r="O44" s="235"/>
      <c r="P44" s="234"/>
      <c r="Q44" s="187">
        <f t="shared" si="3"/>
        <v>1140</v>
      </c>
      <c r="R44" s="183">
        <f t="shared" si="4"/>
        <v>1140</v>
      </c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/>
      <c r="L45" s="251">
        <f>72+540+203+216+108+498+168</f>
        <v>1805</v>
      </c>
      <c r="M45" s="252"/>
      <c r="N45" s="256">
        <f t="shared" si="2"/>
        <v>1805</v>
      </c>
      <c r="O45" s="235"/>
      <c r="P45" s="234"/>
      <c r="Q45" s="187">
        <f t="shared" si="3"/>
        <v>1805</v>
      </c>
      <c r="R45" s="183">
        <f t="shared" si="4"/>
        <v>1805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35"/>
      <c r="P46" s="23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0</v>
      </c>
      <c r="L48" s="259">
        <f t="shared" si="5"/>
        <v>20393</v>
      </c>
      <c r="M48" s="260">
        <f t="shared" si="5"/>
        <v>0</v>
      </c>
      <c r="N48" s="258">
        <f>SUM(N16:N46)</f>
        <v>20393</v>
      </c>
      <c r="O48" s="195">
        <f t="shared" si="5"/>
        <v>0</v>
      </c>
      <c r="P48" s="195">
        <f t="shared" si="5"/>
        <v>0</v>
      </c>
      <c r="Q48" s="194">
        <f>SUM(Q16:Q46)</f>
        <v>20393</v>
      </c>
      <c r="R48" s="185">
        <f>SUM(R16:R46)</f>
        <v>20393</v>
      </c>
      <c r="S48" s="22"/>
    </row>
    <row r="49" spans="2:18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>
        <f>SUM(K48:M48)</f>
        <v>20393</v>
      </c>
      <c r="O50" s="215"/>
      <c r="P50" s="215"/>
      <c r="Q50" s="215"/>
      <c r="R50" s="215">
        <f>+F48+J48+Q48</f>
        <v>20393</v>
      </c>
    </row>
    <row r="51" spans="2:18" x14ac:dyDescent="0.3">
      <c r="H51" s="215"/>
      <c r="R51" s="228"/>
    </row>
    <row r="52" spans="2:18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</sheetData>
  <mergeCells count="6">
    <mergeCell ref="A7:Q7"/>
    <mergeCell ref="A8:Q8"/>
    <mergeCell ref="A9:Q9"/>
    <mergeCell ref="D12:K12"/>
    <mergeCell ref="D14:F14"/>
    <mergeCell ref="K14:Q14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showGridLines="0" topLeftCell="A15" zoomScale="70" zoomScaleNormal="70" workbookViewId="0">
      <selection activeCell="O16" sqref="O16"/>
    </sheetView>
  </sheetViews>
  <sheetFormatPr baseColWidth="10" defaultRowHeight="14.4" x14ac:dyDescent="0.3"/>
  <cols>
    <col min="1" max="2" width="5.44140625" customWidth="1"/>
    <col min="3" max="3" width="6.44140625" customWidth="1"/>
    <col min="12" max="12" width="11.6640625" customWidth="1"/>
    <col min="19" max="19" width="3.109375" customWidth="1"/>
  </cols>
  <sheetData>
    <row r="1" spans="3:22" ht="15" customHeight="1" x14ac:dyDescent="0.3"/>
    <row r="2" spans="3:22" ht="15" customHeight="1" x14ac:dyDescent="0.3"/>
    <row r="3" spans="3:22" ht="15" customHeight="1" x14ac:dyDescent="0.3"/>
    <row r="4" spans="3:22" ht="15" customHeight="1" x14ac:dyDescent="0.3"/>
    <row r="5" spans="3:22" ht="15" customHeight="1" x14ac:dyDescent="0.3"/>
    <row r="6" spans="3:22" ht="15" customHeight="1" x14ac:dyDescent="0.3"/>
    <row r="7" spans="3:22" ht="15" customHeight="1" x14ac:dyDescent="0.3">
      <c r="C7" s="520" t="s">
        <v>45</v>
      </c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485"/>
      <c r="P7" s="485"/>
      <c r="Q7" s="485"/>
      <c r="R7" s="485"/>
    </row>
    <row r="8" spans="3:22" ht="15" customHeight="1" x14ac:dyDescent="0.3">
      <c r="C8" s="537" t="s">
        <v>46</v>
      </c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486"/>
      <c r="Q8" s="486"/>
      <c r="R8" s="486"/>
    </row>
    <row r="9" spans="3:22" ht="15" customHeight="1" x14ac:dyDescent="0.3">
      <c r="C9" s="525" t="s">
        <v>47</v>
      </c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487"/>
      <c r="Q9" s="487"/>
      <c r="R9" s="487"/>
    </row>
    <row r="10" spans="3:22" ht="15" customHeight="1" x14ac:dyDescent="0.3"/>
    <row r="11" spans="3:22" ht="15" customHeight="1" x14ac:dyDescent="0.3"/>
    <row r="12" spans="3:22" ht="21" customHeight="1" x14ac:dyDescent="0.35">
      <c r="C12" s="535" t="s">
        <v>48</v>
      </c>
      <c r="D12" s="535"/>
      <c r="E12" s="535"/>
      <c r="F12" s="536" t="s">
        <v>67</v>
      </c>
      <c r="G12" s="536"/>
      <c r="H12" s="536"/>
      <c r="I12" s="536"/>
      <c r="J12" s="536"/>
      <c r="K12" s="536"/>
      <c r="L12" s="267" t="s">
        <v>49</v>
      </c>
      <c r="M12" s="328" t="str">
        <f>+'ADM 1'!T12</f>
        <v>SEPTIEMBRE</v>
      </c>
      <c r="N12" s="328"/>
      <c r="O12" s="51">
        <f>+'ADM 1'!Y12</f>
        <v>2022</v>
      </c>
    </row>
    <row r="13" spans="3:22" ht="15" customHeight="1" thickBot="1" x14ac:dyDescent="0.35">
      <c r="C13" s="20"/>
      <c r="D13" s="20"/>
      <c r="E13" s="20"/>
      <c r="F13" s="20"/>
      <c r="G13" s="21"/>
      <c r="H13" s="21"/>
      <c r="I13" s="21"/>
      <c r="J13" s="21"/>
      <c r="K13" s="20"/>
      <c r="L13" s="20"/>
      <c r="M13" s="20"/>
      <c r="N13" s="20"/>
      <c r="O13" s="20"/>
    </row>
    <row r="14" spans="3:22" ht="19.5" customHeight="1" thickBot="1" x14ac:dyDescent="0.35">
      <c r="D14" s="532" t="s">
        <v>50</v>
      </c>
      <c r="E14" s="533"/>
      <c r="F14" s="534"/>
      <c r="G14" s="265"/>
      <c r="H14" s="521" t="s">
        <v>30</v>
      </c>
      <c r="I14" s="522"/>
      <c r="J14" s="522"/>
      <c r="K14" s="522"/>
      <c r="L14" s="522"/>
      <c r="M14" s="522"/>
      <c r="N14" s="523"/>
      <c r="O14" s="158" t="s">
        <v>51</v>
      </c>
    </row>
    <row r="15" spans="3:22" ht="39.75" customHeight="1" thickBot="1" x14ac:dyDescent="0.35">
      <c r="C15" s="151" t="s">
        <v>0</v>
      </c>
      <c r="D15" s="262" t="s">
        <v>52</v>
      </c>
      <c r="E15" s="263" t="s">
        <v>84</v>
      </c>
      <c r="F15" s="271" t="s">
        <v>183</v>
      </c>
      <c r="G15" s="173" t="s">
        <v>184</v>
      </c>
      <c r="H15" s="247" t="s">
        <v>186</v>
      </c>
      <c r="I15" s="248" t="s">
        <v>187</v>
      </c>
      <c r="J15" s="249" t="s">
        <v>188</v>
      </c>
      <c r="K15" s="285" t="s">
        <v>182</v>
      </c>
      <c r="L15" s="286" t="s">
        <v>81</v>
      </c>
      <c r="M15" s="287" t="s">
        <v>83</v>
      </c>
      <c r="N15" s="157" t="s">
        <v>185</v>
      </c>
      <c r="O15" s="159" t="s">
        <v>58</v>
      </c>
    </row>
    <row r="16" spans="3:22" ht="15" customHeight="1" x14ac:dyDescent="0.3">
      <c r="C16" s="36" t="s">
        <v>85</v>
      </c>
      <c r="D16" s="264">
        <f>+'ADM 1'!D16+'ADM 2'!D16+'LA VILLA'!D16+'LOS ALCARRIZOS'!D16+'LOS MINA'!D16+'LAS CAOBAS'!D16+AZUA!D16+BARAHONA!D16+BAYAGUANA!D16+'BATEY 6'!D16+BOYA!D16+'BOCA CACHON'!D16+'CRISTO REY'!D27+CONSTANZA!D16+CRISTOBAL!D16+DAJABON!D16+'EL SEYBO'!D16+'ELIAS PIÑA'!D16+'LA VEGA'!D16+MAO!D16+'LA ROMANA'!D16+'MONTE PLATA'!D16+MANZANILLO!D16+MONTECRISTI!D16+NAGUA!D16+NAVARRETE!D16+OCOA!D16+NEYBA!D16+PEDERNALES!D16+PEKIN!D16+PLATANITOS!D16+QUISQUEYA!D16+'PUERTO PLATA'!D16+SAMANA!D16+'SAN CRISTOBAL'!D16+'SAN FCO'!D16+'SAN JUAN'!D16+'SAN PEDRO'!D16+'SANTIAGO RDGUEZ'!D16+'VILLA GONZALEZ'!D16+MOCA!D16+'VILLA LIBERACION'!D16+BONAO!D16+GALVAN!D16+BOHECHIO!D16+PARAISO!D16+'ARROYO CANO'!D16+'POSTRER RIO'!D16+'EL YAQUE'!D16+ENRIQUILLO!D16+'HATO MAYOR'!D16+'LOTERIA NAC.'!D16+UASD!D16+HIGUEY!D16</f>
        <v>17</v>
      </c>
      <c r="E16" s="264">
        <f>+'ADM 1'!E16+'ADM 2'!E16+'LA VILLA'!E16+'LOS ALCARRIZOS'!E16+'LOS MINA'!E16+'LAS CAOBAS'!E16+AZUA!E16+BARAHONA!E16+BAYAGUANA!E16+'BATEY 6'!E16+BOYA!E16+'BOCA CACHON'!E16+'CRISTO REY'!E27+CONSTANZA!E16+CRISTOBAL!E16+DAJABON!E16+'EL SEYBO'!E16+'ELIAS PIÑA'!E16+'LA VEGA'!E16+MAO!E16+'LA ROMANA'!E16+'MONTE PLATA'!E16+MANZANILLO!E16+MONTECRISTI!E16+NAGUA!E16+NAVARRETE!E16+OCOA!E16+NEYBA!E16+PEDERNALES!E16+PEKIN!E16+PLATANITOS!E16+QUISQUEYA!E16+'PUERTO PLATA'!E16+SAMANA!E16+'SAN CRISTOBAL'!E16+'SAN FCO'!E16+'SAN JUAN'!E16+'SAN PEDRO'!E16+'SANTIAGO RDGUEZ'!E16+'VILLA GONZALEZ'!E16+MOCA!E16+'VILLA LIBERACION'!E16+BONAO!E16+GALVAN!E16+BOHECHIO!E16+PARAISO!E16+'ARROYO CANO'!E16+'POSTRER RIO'!E16+'EL YAQUE'!E16+ENRIQUILLO!E16+'HATO MAYOR'!E16+'LOTERIA NAC.'!E16+UASD!E16+HIGUEY!E16</f>
        <v>0</v>
      </c>
      <c r="F16" s="318">
        <f>+D16+E16</f>
        <v>17</v>
      </c>
      <c r="G16" s="266">
        <f>+'ADM 1'!Q16+'ADM 2'!L16+'LOS MINA'!M16+'LA VILLA'!J16+'LOS ALCARRIZOS'!J16+'LAS CAOBAS'!J16+AZUA!J16+BARAHONA!J16+BAYAGUANA!J16+'BATEY 6'!J16+BOYA!J16+'BOCA CACHON'!J16+'CRISTO REY'!J16+CONSTANZA!J16+CRISTOBAL!J16+DAJABON!J16+'EL SEYBO'!J16+'ELIAS PIÑA'!J16+'LA VEGA'!J16+MAO!J16+'LA ROMANA'!J16+'MONTE PLATA'!J16+MANZANILLO!J16+MONTECRISTI!J16+NAGUA!J16+NAVARRETE!J16+OCOA!J16+NEYBA!J16+PEDERNALES!J16+PEKIN!J16+PLATANITOS!J16+QUISQUEYA!J16+'PUERTO PLATA'!J16+SAMANA!J16+'SAN CRISTOBAL'!J16+'SAN FCO'!J16+'SAN JUAN'!J16+'SAN PEDRO'!J16+'SANTIAGO RDGUEZ'!J16+'VILLA GONZALEZ'!J16+MOCA!J16+'VILLA LIBERACION'!J16+BONAO!J16+GALVAN!J16+BOHECHIO!J16+PARAISO!J16+'ARROYO CANO'!J16+'POSTRER RIO'!J16+'EL YAQUE'!J16+ENRIQUILLO!J16+'HATO MAYOR'!J16+'LOTERIA NAC.'!J16+UASD!J16+HIGUEY!J16</f>
        <v>10072</v>
      </c>
      <c r="H16" s="270">
        <f>+'ADM 1'!R16+'ADM 2'!M16+'LOS MINA'!N16+'LA VILLA'!K16+'LOS ALCARRIZOS'!K16+'LAS CAOBAS'!K16+AZUA!K16+BARAHONA!K16+BAYAGUANA!K16+'BATEY 6'!K16+BOYA!K16+'BOCA CACHON'!K16+'CRISTO REY'!K16+CONSTANZA!K16+CRISTOBAL!K16+DAJABON!K16+'EL SEYBO'!K16+'ELIAS PIÑA'!K16+'LA VEGA'!K16+MAO!K16+'LA ROMANA'!K16+'MONTE PLATA'!K16+MANZANILLO!K16+MONTECRISTI!K16+NAGUA!K16+NAVARRETE!K16+OCOA!K16+NEYBA!K16+PEDERNALES!K16+PEKIN!K16+PLATANITOS!K16+QUISQUEYA!K16+'PUERTO PLATA'!K16+SAMANA!K16+'SAN CRISTOBAL'!K16+'SAN FCO'!K16+'SAN JUAN'!K16+'SAN PEDRO'!K16+'SANTIAGO RDGUEZ'!K16+'VILLA GONZALEZ'!K16+MOCA!K16+'VILLA LIBERACION'!K16+BONAO!K16+GALVAN!K16+BOHECHIO!K16+PARAISO!K16+'ARROYO CANO'!K16+'POSTRER RIO'!K16+'EL YAQUE'!K16+ENRIQUILLO!K16+'HATO MAYOR'!K16+'LOTERIA NAC.'!K16+UASD!K16+HIGUEY!K16</f>
        <v>2310</v>
      </c>
      <c r="I16" s="270">
        <f>+'ADM 1'!S16+'ADM 2'!N16+'LOS MINA'!O16+'LA VILLA'!L16+'LOS ALCARRIZOS'!L16+'LAS CAOBAS'!L16+AZUA!L16+BARAHONA!L16+BAYAGUANA!L16+'BATEY 6'!L16+BOYA!L16+'BOCA CACHON'!L16+'CRISTO REY'!L16+CONSTANZA!L16+CRISTOBAL!L16+DAJABON!L16+'EL SEYBO'!L16+'ELIAS PIÑA'!L16+'LA VEGA'!L16+MAO!L16+'LA ROMANA'!L16+'MONTE PLATA'!L16+MANZANILLO!L16+MONTECRISTI!L16+NAGUA!L16+NAVARRETE!L16+OCOA!L16+NEYBA!L16+PEDERNALES!L16+PEKIN!L16+PLATANITOS!L16+QUISQUEYA!L16+'PUERTO PLATA'!L16+SAMANA!L16+'SAN CRISTOBAL'!L16+'SAN FCO'!L16+'SAN JUAN'!L16+'SAN PEDRO'!L16+'SANTIAGO RDGUEZ'!L16+'VILLA GONZALEZ'!L16+MOCA!L16+'VILLA LIBERACION'!L16+BONAO!L16+GALVAN!L16+BOHECHIO!L16+PARAISO!L16+'ARROYO CANO'!L16+'POSTRER RIO'!L16+'EL YAQUE'!L16+ENRIQUILLO!L16+'HATO MAYOR'!L16+'LOTERIA NAC.'!L16+UASD!L16+HIGUEY!L16</f>
        <v>72380</v>
      </c>
      <c r="J16" s="270">
        <f>+'ADM 1'!T16+'ADM 2'!O16+'LOS MINA'!P16+'LA VILLA'!M16+'LOS ALCARRIZOS'!M16+'LAS CAOBAS'!M16+AZUA!M16+BARAHONA!M16+BAYAGUANA!M16+'BATEY 6'!M16+BOYA!M16+'BOCA CACHON'!M16+'CRISTO REY'!M16+CONSTANZA!M16+CRISTOBAL!M16+DAJABON!M16+'EL SEYBO'!M16+'ELIAS PIÑA'!M16+'LA VEGA'!M16+MAO!M16+'LA ROMANA'!M16+'MONTE PLATA'!M16+MANZANILLO!M16+MONTECRISTI!M16+NAGUA!M16+NAVARRETE!M16+OCOA!M16+NEYBA!M16+PEDERNALES!M16+PEKIN!M16+PLATANITOS!M16+QUISQUEYA!M16+'PUERTO PLATA'!M16+SAMANA!M16+'SAN CRISTOBAL'!M16+'SAN FCO'!M16+'SAN JUAN'!M16+'SAN PEDRO'!M16+'SANTIAGO RDGUEZ'!M16+'VILLA GONZALEZ'!M16+MOCA!M16+'VILLA LIBERACION'!M16+BONAO!M16+GALVAN!M16+BOHECHIO!M16+PARAISO!M16+'ARROYO CANO'!M16+'POSTRER RIO'!M16+'EL YAQUE'!M16+ENRIQUILLO!M16+'HATO MAYOR'!M16+'LOTERIA NAC.'!M16+UASD!M16+HIGUEY!M16</f>
        <v>0</v>
      </c>
      <c r="K16" s="256">
        <f>+H16+I16+J16</f>
        <v>74690</v>
      </c>
      <c r="L16" s="269">
        <f>+'ADM 1'!V16+'ADM 2'!Q16+'LA VILLA'!O16+'LOS ALCARRIZOS'!O16+'LOS MINA'!R16+'LAS CAOBAS'!O16+AZUA!O16+BARAHONA!O16+BAYAGUANA!O16+'BATEY 6'!O16+BOYA!O16+'BOCA CACHON'!O16+'CRISTO REY'!O27+CONSTANZA!O16+CRISTOBAL!O16+DAJABON!O16+'EL SEYBO'!O16+'ELIAS PIÑA'!O16+'LA VEGA'!O16+MAO!O16+'LA ROMANA'!O16+'MONTE PLATA'!O16+MANZANILLO!O16+MONTECRISTI!O16+NAGUA!O16+NAVARRETE!O16+OCOA!O16+NEYBA!O16+PEDERNALES!O16+PEKIN!O16+PLATANITOS!O16+QUISQUEYA!O16+'PUERTO PLATA'!O16+SAMANA!O16+'SAN CRISTOBAL'!O16+'SAN FCO'!O16+'SAN JUAN'!O16+'SAN PEDRO'!O16+'SANTIAGO RDGUEZ'!O16+'VILLA GONZALEZ'!O16+MOCA!O16+'VILLA LIBERACION'!O16+BONAO!O16+GALVAN!O16+BOHECHIO!O17+PARAISO!O16+'ARROYO CANO'!O16+'POSTRER RIO'!O16+'EL YAQUE'!O16+ENRIQUILLO!O16+'HATO MAYOR'!O16+'LOTERIA NAC.'!O16+UASD!O16+HIGUEY!O16</f>
        <v>0</v>
      </c>
      <c r="M16" s="269">
        <f>+'ADM 1'!W16+'ADM 2'!R16+'LA VILLA'!P16+'LOS ALCARRIZOS'!P16+'LOS MINA'!S16+'LAS CAOBAS'!P16+AZUA!P16+BARAHONA!P16+BAYAGUANA!P16+'BATEY 6'!P16+BOYA!P16+'BOCA CACHON'!P16+'CRISTO REY'!P27+CONSTANZA!P16+CRISTOBAL!P16+DAJABON!P16+'EL SEYBO'!P16+'ELIAS PIÑA'!P16+'LA VEGA'!P16+MAO!P16+'LA ROMANA'!P16+'MONTE PLATA'!P16+MANZANILLO!P16+MONTECRISTI!P16+NAGUA!P16+NAVARRETE!P16+OCOA!P16+NEYBA!P16+PEDERNALES!P16+PEKIN!P16+PLATANITOS!P16+QUISQUEYA!P16+'PUERTO PLATA'!P16+SAMANA!P16+'SAN CRISTOBAL'!P16+'SAN FCO'!P16+'SAN JUAN'!P16+'SAN PEDRO'!P16+'SANTIAGO RDGUEZ'!P16+'VILLA GONZALEZ'!P16+MOCA!P16+'VILLA LIBERACION'!P16+BONAO!P16+GALVAN!P16+BOHECHIO!P17+PARAISO!P16+'ARROYO CANO'!P16+'POSTRER RIO'!P16+'EL YAQUE'!P16+ENRIQUILLO!P16+'HATO MAYOR'!P16+'LOTERIA NAC.'!P16+UASD!P16+HIGUEY!P16</f>
        <v>0</v>
      </c>
      <c r="N16" s="187">
        <f>+M16+L16+K16</f>
        <v>74690</v>
      </c>
      <c r="O16" s="183">
        <f>+N16+G16+F16</f>
        <v>84779</v>
      </c>
      <c r="S16" s="70"/>
      <c r="T16" s="3"/>
      <c r="U16" s="3"/>
      <c r="V16" s="70">
        <f>+U16-T16</f>
        <v>0</v>
      </c>
    </row>
    <row r="17" spans="3:22" ht="15" customHeight="1" x14ac:dyDescent="0.3">
      <c r="C17" s="27" t="s">
        <v>86</v>
      </c>
      <c r="D17" s="264">
        <f>+'ADM 1'!D17+'ADM 2'!D17+'LA VILLA'!D17+'LOS ALCARRIZOS'!D17+'LOS MINA'!D17+'LAS CAOBAS'!D17+AZUA!D17+BARAHONA!D17+BAYAGUANA!D17+'BATEY 6'!D17+BOYA!D17+'BOCA CACHON'!D17+'CRISTO REY'!D28+CONSTANZA!D17+CRISTOBAL!D17+DAJABON!D17+'EL SEYBO'!D17+'ELIAS PIÑA'!D17+'LA VEGA'!D17+MAO!D17+'LA ROMANA'!D17+'MONTE PLATA'!D17+MANZANILLO!D17+MONTECRISTI!D17+NAGUA!D17+NAVARRETE!D17+OCOA!D17+NEYBA!D17+PEDERNALES!D17+PEKIN!D17+PLATANITOS!D17+QUISQUEYA!D17+'PUERTO PLATA'!D17+SAMANA!D17+'SAN CRISTOBAL'!D17+'SAN FCO'!D17+'SAN JUAN'!D17+'SAN PEDRO'!D17+'SANTIAGO RDGUEZ'!D17+'VILLA GONZALEZ'!D17+MOCA!D17+'VILLA LIBERACION'!D17+BONAO!D17+GALVAN!D17+BOHECHIO!D17+PARAISO!D17+'ARROYO CANO'!D17+'POSTRER RIO'!D17+'EL YAQUE'!D17+ENRIQUILLO!D17+'HATO MAYOR'!D17+'LOTERIA NAC.'!D17+UASD!D17+HIGUEY!D17</f>
        <v>18</v>
      </c>
      <c r="E17" s="264">
        <f>+'ADM 1'!E17+'ADM 2'!E17+'LA VILLA'!E17+'LOS ALCARRIZOS'!E17+'LOS MINA'!E17+'LAS CAOBAS'!E17+AZUA!E17+BARAHONA!E17+BAYAGUANA!E17+'BATEY 6'!E17+BOYA!E17+'BOCA CACHON'!E17+'CRISTO REY'!E28+CONSTANZA!E17+CRISTOBAL!E17+DAJABON!E17+'EL SEYBO'!E17+'ELIAS PIÑA'!E17+'LA VEGA'!E17+MAO!E17+'LA ROMANA'!E17+'MONTE PLATA'!E17+MANZANILLO!E17+MONTECRISTI!E17+NAGUA!E17+NAVARRETE!E17+OCOA!E17+NEYBA!E17+PEDERNALES!E17+PEKIN!E17+PLATANITOS!E17+QUISQUEYA!E17+'PUERTO PLATA'!E17+SAMANA!E17+'SAN CRISTOBAL'!E17+'SAN FCO'!E17+'SAN JUAN'!E17+'SAN PEDRO'!E17+'SANTIAGO RDGUEZ'!E17+'VILLA GONZALEZ'!E17+MOCA!E17+'VILLA LIBERACION'!E17+BONAO!E17+GALVAN!E17+BOHECHIO!E17+PARAISO!E17+'ARROYO CANO'!E17+'POSTRER RIO'!E17+'EL YAQUE'!E17+ENRIQUILLO!E17+'HATO MAYOR'!E17+'LOTERIA NAC.'!E17+UASD!E17+HIGUEY!E17</f>
        <v>0</v>
      </c>
      <c r="F17" s="318">
        <f t="shared" ref="F17:F46" si="0">+D17+E17</f>
        <v>18</v>
      </c>
      <c r="G17" s="266">
        <f>+'ADM 1'!Q17+'ADM 2'!L17+'LOS MINA'!M17+'LA VILLA'!J17+'LOS ALCARRIZOS'!J17+'LAS CAOBAS'!J17+AZUA!J17+BARAHONA!J17+BAYAGUANA!J17+'BATEY 6'!J17+BOYA!J17+'BOCA CACHON'!J17+'CRISTO REY'!J17+CONSTANZA!J17+CRISTOBAL!J17+DAJABON!J17+'EL SEYBO'!J17+'ELIAS PIÑA'!J17+'LA VEGA'!J17+MAO!J17+'LA ROMANA'!J17+'MONTE PLATA'!J17+MANZANILLO!J17+MONTECRISTI!J17+NAGUA!J17+NAVARRETE!J17+OCOA!J17+NEYBA!J17+PEDERNALES!J17+PEKIN!J17+PLATANITOS!J17+QUISQUEYA!J17+'PUERTO PLATA'!J17+SAMANA!J17+'SAN CRISTOBAL'!J17+'SAN FCO'!J17+'SAN JUAN'!J17+'SAN PEDRO'!J17+'SANTIAGO RDGUEZ'!J17+'VILLA GONZALEZ'!J17+MOCA!J17+'VILLA LIBERACION'!J17+BONAO!J17+GALVAN!J17+BOHECHIO!J17+PARAISO!J17+'ARROYO CANO'!J17+'POSTRER RIO'!J17+'EL YAQUE'!J17+ENRIQUILLO!J17+'HATO MAYOR'!J17+'LOTERIA NAC.'!J17+UASD!J17+HIGUEY!J17</f>
        <v>10019</v>
      </c>
      <c r="H17" s="270">
        <f>+'ADM 1'!R17+'ADM 2'!M17+'LOS MINA'!N17+'LA VILLA'!K17+'LOS ALCARRIZOS'!K17+'LAS CAOBAS'!K17+AZUA!K17+BARAHONA!K17+BAYAGUANA!K17+'BATEY 6'!K17+BOYA!K17+'BOCA CACHON'!K17+'CRISTO REY'!K17+CONSTANZA!K17+CRISTOBAL!K17+DAJABON!K17+'EL SEYBO'!K17+'ELIAS PIÑA'!K17+'LA VEGA'!K17+MAO!K17+'LA ROMANA'!K17+'MONTE PLATA'!K17+MANZANILLO!K17+MONTECRISTI!K17+NAGUA!K17+NAVARRETE!K17+OCOA!K17+NEYBA!K17+PEDERNALES!K17+PEKIN!K17+PLATANITOS!K17+QUISQUEYA!K17+'PUERTO PLATA'!K17+SAMANA!K17+'SAN CRISTOBAL'!K17+'SAN FCO'!K17+'SAN JUAN'!K17+'SAN PEDRO'!K17+'SANTIAGO RDGUEZ'!K17+'VILLA GONZALEZ'!K17+MOCA!K17+'VILLA LIBERACION'!K17+BONAO!K17+GALVAN!K17+BOHECHIO!K17+PARAISO!K17+'ARROYO CANO'!K17+'POSTRER RIO'!K17+'EL YAQUE'!K17+ENRIQUILLO!K17+'HATO MAYOR'!K17+'LOTERIA NAC.'!K17+UASD!K17+HIGUEY!K17</f>
        <v>2276</v>
      </c>
      <c r="I17" s="270">
        <f>+'ADM 1'!S17+'ADM 2'!N17+'LOS MINA'!O17+'LA VILLA'!L17+'LOS ALCARRIZOS'!L17+'LAS CAOBAS'!L17+AZUA!L17+BARAHONA!L17+BAYAGUANA!L17+'BATEY 6'!L17+BOYA!L17+'BOCA CACHON'!L17+'CRISTO REY'!L17+CONSTANZA!L17+CRISTOBAL!L17+DAJABON!L17+'EL SEYBO'!L17+'ELIAS PIÑA'!L17+'LA VEGA'!L17+MAO!L17+'LA ROMANA'!L17+'MONTE PLATA'!L17+MANZANILLO!L17+MONTECRISTI!L17+NAGUA!L17+NAVARRETE!L17+OCOA!L17+NEYBA!L17+PEDERNALES!L17+PEKIN!L17+PLATANITOS!L17+QUISQUEYA!L17+'PUERTO PLATA'!L17+SAMANA!L17+'SAN CRISTOBAL'!L17+'SAN FCO'!L17+'SAN JUAN'!L17+'SAN PEDRO'!L17+'SANTIAGO RDGUEZ'!L17+'VILLA GONZALEZ'!L17+MOCA!L17+'VILLA LIBERACION'!L17+BONAO!L17+GALVAN!L17+BOHECHIO!L17+PARAISO!L17+'ARROYO CANO'!L17+'POSTRER RIO'!L17+'EL YAQUE'!L17+ENRIQUILLO!L17+'HATO MAYOR'!L17+'LOTERIA NAC.'!L17+UASD!L17+HIGUEY!L17</f>
        <v>72586</v>
      </c>
      <c r="J17" s="270">
        <f>+'ADM 1'!T17+'ADM 2'!O17+'LOS MINA'!P17+'LA VILLA'!M17+'LOS ALCARRIZOS'!M17+'LAS CAOBAS'!M17+AZUA!M17+BARAHONA!M17+BAYAGUANA!M17+'BATEY 6'!M17+BOYA!M17+'BOCA CACHON'!M17+'CRISTO REY'!M17+CONSTANZA!M17+CRISTOBAL!M17+DAJABON!M17+'EL SEYBO'!M17+'ELIAS PIÑA'!M17+'LA VEGA'!M17+MAO!M17+'LA ROMANA'!M17+'MONTE PLATA'!M17+MANZANILLO!M17+MONTECRISTI!M17+NAGUA!M17+NAVARRETE!M17+OCOA!M17+NEYBA!M17+PEDERNALES!M17+PEKIN!M17+PLATANITOS!M17+QUISQUEYA!M17+'PUERTO PLATA'!M17+SAMANA!M17+'SAN CRISTOBAL'!M17+'SAN FCO'!M17+'SAN JUAN'!M17+'SAN PEDRO'!M17+'SANTIAGO RDGUEZ'!M17+'VILLA GONZALEZ'!M17+MOCA!M17+'VILLA LIBERACION'!M17+BONAO!M17+GALVAN!M17+BOHECHIO!M17+PARAISO!M17+'ARROYO CANO'!M17+'POSTRER RIO'!M17+'EL YAQUE'!M17+ENRIQUILLO!M17+'HATO MAYOR'!M17+'LOTERIA NAC.'!M17+UASD!M17+HIGUEY!M17</f>
        <v>0</v>
      </c>
      <c r="K17" s="256">
        <f t="shared" ref="K17:K46" si="1">+H17+I17+J17</f>
        <v>74862</v>
      </c>
      <c r="L17" s="269">
        <f>+'ADM 1'!V17+'ADM 2'!Q17+'LA VILLA'!O17+'LOS ALCARRIZOS'!O17+'LOS MINA'!R17+'LAS CAOBAS'!O17+AZUA!O17+BARAHONA!O17+BAYAGUANA!O17+'BATEY 6'!O17+BOYA!O17+'BOCA CACHON'!O17+'CRISTO REY'!O28+CONSTANZA!O17+CRISTOBAL!O17+DAJABON!O17+'EL SEYBO'!O17+'ELIAS PIÑA'!O17+'LA VEGA'!O17+MAO!O17+'LA ROMANA'!O17+'MONTE PLATA'!O17+MANZANILLO!O17+MONTECRISTI!O17+NAGUA!O17+NAVARRETE!O17+OCOA!O17+NEYBA!O17+PEDERNALES!O17+PEKIN!O17+PLATANITOS!O17+QUISQUEYA!O17+'PUERTO PLATA'!O17+SAMANA!O17+'SAN CRISTOBAL'!O17+'SAN FCO'!O17+'SAN JUAN'!O17+'SAN PEDRO'!O17+'SANTIAGO RDGUEZ'!O17+'VILLA GONZALEZ'!O17+MOCA!O17+'VILLA LIBERACION'!O17+BONAO!O17+GALVAN!O17+BOHECHIO!O18+PARAISO!O17+'ARROYO CANO'!O17+'POSTRER RIO'!O17+'EL YAQUE'!O17+ENRIQUILLO!O17+'HATO MAYOR'!O17+'LOTERIA NAC.'!O17+UASD!O17+HIGUEY!O17</f>
        <v>0</v>
      </c>
      <c r="M17" s="269">
        <f>+'ADM 1'!W17+'ADM 2'!R17+'LA VILLA'!P17+'LOS ALCARRIZOS'!P17+'LOS MINA'!S17+'LAS CAOBAS'!P17+AZUA!P17+BARAHONA!P17+BAYAGUANA!P17+'BATEY 6'!P17+BOYA!P17+'BOCA CACHON'!P17+'CRISTO REY'!P28+CONSTANZA!P17+CRISTOBAL!P17+DAJABON!P17+'EL SEYBO'!P17+'ELIAS PIÑA'!P17+'LA VEGA'!P17+MAO!P17+'LA ROMANA'!P17+'MONTE PLATA'!P17+MANZANILLO!P17+MONTECRISTI!P17+NAGUA!P17+NAVARRETE!P17+OCOA!P17+NEYBA!P17+PEDERNALES!P17+PEKIN!P17+PLATANITOS!P17+QUISQUEYA!P17+'PUERTO PLATA'!P17+SAMANA!P17+'SAN CRISTOBAL'!P17+'SAN FCO'!P17+'SAN JUAN'!P17+'SAN PEDRO'!P17+'SANTIAGO RDGUEZ'!P17+'VILLA GONZALEZ'!P17+MOCA!P17+'VILLA LIBERACION'!P17+BONAO!P17+GALVAN!P17+BOHECHIO!P18+PARAISO!P17+'ARROYO CANO'!P17+'POSTRER RIO'!P17+'EL YAQUE'!P17+ENRIQUILLO!P17+'HATO MAYOR'!P17+'LOTERIA NAC.'!P17+UASD!P17+HIGUEY!P17</f>
        <v>0</v>
      </c>
      <c r="N17" s="187">
        <f t="shared" ref="N17:N46" si="2">+M17+L17+K17</f>
        <v>74862</v>
      </c>
      <c r="O17" s="183">
        <f t="shared" ref="O17:O46" si="3">+N17+G17+F17</f>
        <v>84899</v>
      </c>
      <c r="S17" s="70"/>
      <c r="T17" s="3"/>
      <c r="U17" s="3"/>
      <c r="V17" s="70">
        <f t="shared" ref="V17:V46" si="4">+U17-T17</f>
        <v>0</v>
      </c>
    </row>
    <row r="18" spans="3:22" ht="15" customHeight="1" x14ac:dyDescent="0.3">
      <c r="C18" s="26" t="s">
        <v>87</v>
      </c>
      <c r="D18" s="264">
        <f>+'ADM 1'!D18+'ADM 2'!D18+'LA VILLA'!D18+'LOS ALCARRIZOS'!D18+'LOS MINA'!D18+'LAS CAOBAS'!D18+AZUA!D18+BARAHONA!D18+BAYAGUANA!D18+'BATEY 6'!D18+BOYA!D18+'BOCA CACHON'!D18+'CRISTO REY'!D29+CONSTANZA!D18+CRISTOBAL!D18+DAJABON!D18+'EL SEYBO'!D18+'ELIAS PIÑA'!D18+'LA VEGA'!D18+MAO!D18+'LA ROMANA'!D18+'MONTE PLATA'!D18+MANZANILLO!D18+MONTECRISTI!D18+NAGUA!D18+NAVARRETE!D18+OCOA!D18+NEYBA!D18+PEDERNALES!D18+PEKIN!D18+PLATANITOS!D18+QUISQUEYA!D18+'PUERTO PLATA'!D18+SAMANA!D18+'SAN CRISTOBAL'!D18+'SAN FCO'!D18+'SAN JUAN'!D18+'SAN PEDRO'!D18+'SANTIAGO RDGUEZ'!D18+'VILLA GONZALEZ'!D18+MOCA!D18+'VILLA LIBERACION'!D18+BONAO!D18+GALVAN!D18+BOHECHIO!D18+PARAISO!D18+'ARROYO CANO'!D18+'POSTRER RIO'!D18+'EL YAQUE'!D18+ENRIQUILLO!D18+'HATO MAYOR'!D18+'LOTERIA NAC.'!D18+UASD!D18+HIGUEY!D18</f>
        <v>0</v>
      </c>
      <c r="E18" s="264">
        <f>+'ADM 1'!E18+'ADM 2'!E18+'LA VILLA'!E18+'LOS ALCARRIZOS'!E18+'LOS MINA'!E18+'LAS CAOBAS'!E18+AZUA!E18+BARAHONA!E18+BAYAGUANA!E18+'BATEY 6'!E18+BOYA!E18+'BOCA CACHON'!E18+'CRISTO REY'!E29+CONSTANZA!E18+CRISTOBAL!E18+DAJABON!E18+'EL SEYBO'!E18+'ELIAS PIÑA'!E18+'LA VEGA'!E18+MAO!E18+'LA ROMANA'!E18+'MONTE PLATA'!E18+MANZANILLO!E18+MONTECRISTI!E18+NAGUA!E18+NAVARRETE!E18+OCOA!E18+NEYBA!E18+PEDERNALES!E18+PEKIN!E18+PLATANITOS!E18+QUISQUEYA!E18+'PUERTO PLATA'!E18+SAMANA!E18+'SAN CRISTOBAL'!E18+'SAN FCO'!E18+'SAN JUAN'!E18+'SAN PEDRO'!E18+'SANTIAGO RDGUEZ'!E18+'VILLA GONZALEZ'!E18+MOCA!E18+'VILLA LIBERACION'!E18+BONAO!E18+GALVAN!E18+BOHECHIO!E18+PARAISO!E18+'ARROYO CANO'!E18+'POSTRER RIO'!E18+'EL YAQUE'!E18+ENRIQUILLO!E18+'HATO MAYOR'!E18+'LOTERIA NAC.'!E18+UASD!E18+HIGUEY!E18</f>
        <v>0</v>
      </c>
      <c r="F18" s="318">
        <f t="shared" si="0"/>
        <v>0</v>
      </c>
      <c r="G18" s="266">
        <f>+'ADM 1'!Q18+'ADM 2'!L18+'LOS MINA'!M18+'LA VILLA'!J18+'LOS ALCARRIZOS'!J18+'LAS CAOBAS'!J18+AZUA!J18+BARAHONA!J18+BAYAGUANA!J18+'BATEY 6'!J18+BOYA!J18+'BOCA CACHON'!J18+'CRISTO REY'!J18+CONSTANZA!J18+CRISTOBAL!J18+DAJABON!J18+'EL SEYBO'!J18+'ELIAS PIÑA'!J18+'LA VEGA'!J18+MAO!J18+'LA ROMANA'!J18+'MONTE PLATA'!J18+MANZANILLO!J18+MONTECRISTI!J18+NAGUA!J18+NAVARRETE!J18+OCOA!J18+NEYBA!J18+PEDERNALES!J18+PEKIN!J18+PLATANITOS!J18+QUISQUEYA!J18+'PUERTO PLATA'!J18+SAMANA!J18+'SAN CRISTOBAL'!J18+'SAN FCO'!J18+'SAN JUAN'!J18+'SAN PEDRO'!J18+'SANTIAGO RDGUEZ'!J18+'VILLA GONZALEZ'!J18+MOCA!J18+'VILLA LIBERACION'!J18+BONAO!J18+GALVAN!J18+BOHECHIO!J18+PARAISO!J18+'ARROYO CANO'!J18+'POSTRER RIO'!J18+'EL YAQUE'!J18+ENRIQUILLO!J18+'HATO MAYOR'!J18+'LOTERIA NAC.'!J18+UASD!J18+HIGUEY!J18</f>
        <v>7750</v>
      </c>
      <c r="H18" s="270">
        <f>+'ADM 1'!R18+'ADM 2'!M18+'LOS MINA'!N18+'LA VILLA'!K18+'LOS ALCARRIZOS'!K18+'LAS CAOBAS'!K18+AZUA!K18+BARAHONA!K18+BAYAGUANA!K18+'BATEY 6'!K18+BOYA!K18+'BOCA CACHON'!K18+'CRISTO REY'!K18+CONSTANZA!K18+CRISTOBAL!K18+DAJABON!K18+'EL SEYBO'!K18+'ELIAS PIÑA'!K18+'LA VEGA'!K18+MAO!K18+'LA ROMANA'!K18+'MONTE PLATA'!K18+MANZANILLO!K18+MONTECRISTI!K18+NAGUA!K18+NAVARRETE!K18+OCOA!K18+NEYBA!K18+PEDERNALES!K18+PEKIN!K18+PLATANITOS!K18+QUISQUEYA!K18+'PUERTO PLATA'!K18+SAMANA!K18+'SAN CRISTOBAL'!K18+'SAN FCO'!K18+'SAN JUAN'!K18+'SAN PEDRO'!K18+'SANTIAGO RDGUEZ'!K18+'VILLA GONZALEZ'!K18+MOCA!K18+'VILLA LIBERACION'!K18+BONAO!K18+GALVAN!K18+BOHECHIO!K18+PARAISO!K18+'ARROYO CANO'!K18+'POSTRER RIO'!K18+'EL YAQUE'!K18+ENRIQUILLO!K18+'HATO MAYOR'!K18+'LOTERIA NAC.'!K18+UASD!K18+HIGUEY!K18</f>
        <v>652</v>
      </c>
      <c r="I18" s="270">
        <f>+'ADM 1'!S18+'ADM 2'!N18+'LOS MINA'!O18+'LA VILLA'!L18+'LOS ALCARRIZOS'!L18+'LAS CAOBAS'!L18+AZUA!L18+BARAHONA!L18+BAYAGUANA!L18+'BATEY 6'!L18+BOYA!L18+'BOCA CACHON'!L18+'CRISTO REY'!L18+CONSTANZA!L18+CRISTOBAL!L18+DAJABON!L18+'EL SEYBO'!L18+'ELIAS PIÑA'!L18+'LA VEGA'!L18+MAO!L18+'LA ROMANA'!L18+'MONTE PLATA'!L18+MANZANILLO!L18+MONTECRISTI!L18+NAGUA!L18+NAVARRETE!L18+OCOA!L18+NEYBA!L18+PEDERNALES!L18+PEKIN!L18+PLATANITOS!L18+QUISQUEYA!L18+'PUERTO PLATA'!L18+SAMANA!L18+'SAN CRISTOBAL'!L18+'SAN FCO'!L18+'SAN JUAN'!L18+'SAN PEDRO'!L18+'SANTIAGO RDGUEZ'!L18+'VILLA GONZALEZ'!L18+MOCA!L18+'VILLA LIBERACION'!L18+BONAO!L18+GALVAN!L18+BOHECHIO!L18+PARAISO!L18+'ARROYO CANO'!L18+'POSTRER RIO'!L18+'EL YAQUE'!L18+ENRIQUILLO!L18+'HATO MAYOR'!L18+'LOTERIA NAC.'!L18+UASD!L18+HIGUEY!L18</f>
        <v>10679</v>
      </c>
      <c r="J18" s="270">
        <f>+'ADM 1'!T18+'ADM 2'!O18+'LOS MINA'!P18+'LA VILLA'!M18+'LOS ALCARRIZOS'!M18+'LAS CAOBAS'!M18+AZUA!M18+BARAHONA!M18+BAYAGUANA!M18+'BATEY 6'!M18+BOYA!M18+'BOCA CACHON'!M18+'CRISTO REY'!M18+CONSTANZA!M18+CRISTOBAL!M18+DAJABON!M18+'EL SEYBO'!M18+'ELIAS PIÑA'!M18+'LA VEGA'!M18+MAO!M18+'LA ROMANA'!M18+'MONTE PLATA'!M18+MANZANILLO!M18+MONTECRISTI!M18+NAGUA!M18+NAVARRETE!M18+OCOA!M18+NEYBA!M18+PEDERNALES!M18+PEKIN!M18+PLATANITOS!M18+QUISQUEYA!M18+'PUERTO PLATA'!M18+SAMANA!M18+'SAN CRISTOBAL'!M18+'SAN FCO'!M18+'SAN JUAN'!M18+'SAN PEDRO'!M18+'SANTIAGO RDGUEZ'!M18+'VILLA GONZALEZ'!M18+MOCA!M18+'VILLA LIBERACION'!M18+BONAO!M18+GALVAN!M18+BOHECHIO!M18+PARAISO!M18+'ARROYO CANO'!M18+'POSTRER RIO'!M18+'EL YAQUE'!M18+ENRIQUILLO!M18+'HATO MAYOR'!M18+'LOTERIA NAC.'!M18+UASD!M18+HIGUEY!M18</f>
        <v>0</v>
      </c>
      <c r="K18" s="256">
        <f t="shared" si="1"/>
        <v>11331</v>
      </c>
      <c r="L18" s="269">
        <f>+'ADM 1'!V18+'ADM 2'!Q18+'LA VILLA'!O18+'LOS ALCARRIZOS'!O18+'LOS MINA'!R18+'LAS CAOBAS'!O18+AZUA!O18+BARAHONA!O18+BAYAGUANA!O18+'BATEY 6'!O18+BOYA!O18+'BOCA CACHON'!O18+'CRISTO REY'!O29+CONSTANZA!O18+CRISTOBAL!O18+DAJABON!O18+'EL SEYBO'!O18+'ELIAS PIÑA'!O18+'LA VEGA'!O18+MAO!O18+'LA ROMANA'!O18+'MONTE PLATA'!O18+MANZANILLO!O18+MONTECRISTI!O18+NAGUA!O18+NAVARRETE!O18+OCOA!O18+NEYBA!O18+PEDERNALES!O18+PEKIN!O18+PLATANITOS!O18+QUISQUEYA!O18+'PUERTO PLATA'!O18+SAMANA!O18+'SAN CRISTOBAL'!O18+'SAN FCO'!O18+'SAN JUAN'!O18+'SAN PEDRO'!O18+'SANTIAGO RDGUEZ'!O18+'VILLA GONZALEZ'!O18+MOCA!O18+'VILLA LIBERACION'!O18+BONAO!O18+GALVAN!O18+BOHECHIO!O19+PARAISO!O18+'ARROYO CANO'!O18+'POSTRER RIO'!O18+'EL YAQUE'!O18+ENRIQUILLO!O18+'HATO MAYOR'!O18+'LOTERIA NAC.'!O18+UASD!O18+HIGUEY!O18</f>
        <v>0</v>
      </c>
      <c r="M18" s="269">
        <f>+'ADM 1'!W18+'ADM 2'!R18+'LA VILLA'!P18+'LOS ALCARRIZOS'!P18+'LOS MINA'!S18+'LAS CAOBAS'!P18+AZUA!P18+BARAHONA!P18+BAYAGUANA!P18+'BATEY 6'!P18+BOYA!P18+'BOCA CACHON'!P18+'CRISTO REY'!P29+CONSTANZA!P18+CRISTOBAL!P18+DAJABON!P18+'EL SEYBO'!P18+'ELIAS PIÑA'!P18+'LA VEGA'!P18+MAO!P18+'LA ROMANA'!P18+'MONTE PLATA'!P18+MANZANILLO!P18+MONTECRISTI!P18+NAGUA!P18+NAVARRETE!P18+OCOA!P18+NEYBA!P18+PEDERNALES!P18+PEKIN!P18+PLATANITOS!P18+QUISQUEYA!P18+'PUERTO PLATA'!P18+SAMANA!P18+'SAN CRISTOBAL'!P18+'SAN FCO'!P18+'SAN JUAN'!P18+'SAN PEDRO'!P18+'SANTIAGO RDGUEZ'!P18+'VILLA GONZALEZ'!P18+MOCA!P18+'VILLA LIBERACION'!P18+BONAO!P18+GALVAN!P18+BOHECHIO!P19+PARAISO!P18+'ARROYO CANO'!P18+'POSTRER RIO'!P18+'EL YAQUE'!P18+ENRIQUILLO!P18+'HATO MAYOR'!P18+'LOTERIA NAC.'!P18+UASD!P18+HIGUEY!P18</f>
        <v>0</v>
      </c>
      <c r="N18" s="187">
        <f t="shared" si="2"/>
        <v>11331</v>
      </c>
      <c r="O18" s="183">
        <f t="shared" si="3"/>
        <v>19081</v>
      </c>
      <c r="S18" s="70"/>
      <c r="T18" s="3"/>
      <c r="U18" s="3"/>
      <c r="V18" s="70">
        <f t="shared" si="4"/>
        <v>0</v>
      </c>
    </row>
    <row r="19" spans="3:22" ht="15" customHeight="1" x14ac:dyDescent="0.3">
      <c r="C19" s="26">
        <v>4</v>
      </c>
      <c r="D19" s="264">
        <f>+'ADM 1'!D19+'ADM 2'!D19+'LA VILLA'!D19+'LOS ALCARRIZOS'!D19+'LOS MINA'!D19+'LAS CAOBAS'!D19+AZUA!D19+BARAHONA!D19+BAYAGUANA!D19+'BATEY 6'!D19+BOYA!D19+'BOCA CACHON'!D19+'CRISTO REY'!D30+CONSTANZA!D19+CRISTOBAL!D19+DAJABON!D19+'EL SEYBO'!D19+'ELIAS PIÑA'!D19+'LA VEGA'!D19+MAO!D19+'LA ROMANA'!D19+'MONTE PLATA'!D19+MANZANILLO!D19+MONTECRISTI!D19+NAGUA!D19+NAVARRETE!D19+OCOA!D19+NEYBA!D19+PEDERNALES!D19+PEKIN!D19+PLATANITOS!D19+QUISQUEYA!D19+'PUERTO PLATA'!D19+SAMANA!D19+'SAN CRISTOBAL'!D19+'SAN FCO'!D19+'SAN JUAN'!D19+'SAN PEDRO'!D19+'SANTIAGO RDGUEZ'!D19+'VILLA GONZALEZ'!D19+MOCA!D19+'VILLA LIBERACION'!D19+BONAO!D19+GALVAN!D19+BOHECHIO!D19+PARAISO!D19+'ARROYO CANO'!D19+'POSTRER RIO'!D19+'EL YAQUE'!D19+ENRIQUILLO!D19+'HATO MAYOR'!D19+'LOTERIA NAC.'!D19+UASD!D19+HIGUEY!D19</f>
        <v>0</v>
      </c>
      <c r="E19" s="264">
        <f>+'ADM 1'!E19+'ADM 2'!E19+'LA VILLA'!E19+'LOS ALCARRIZOS'!E19+'LOS MINA'!E19+'LAS CAOBAS'!E19+AZUA!E19+BARAHONA!E19+BAYAGUANA!E19+'BATEY 6'!E19+BOYA!E19+'BOCA CACHON'!E19+'CRISTO REY'!E30+CONSTANZA!E19+CRISTOBAL!E19+DAJABON!E19+'EL SEYBO'!E19+'ELIAS PIÑA'!E19+'LA VEGA'!E19+MAO!E19+'LA ROMANA'!E19+'MONTE PLATA'!E19+MANZANILLO!E19+MONTECRISTI!E19+NAGUA!E19+NAVARRETE!E19+OCOA!E19+NEYBA!E19+PEDERNALES!E19+PEKIN!E19+PLATANITOS!E19+QUISQUEYA!E19+'PUERTO PLATA'!E19+SAMANA!E19+'SAN CRISTOBAL'!E19+'SAN FCO'!E19+'SAN JUAN'!E19+'SAN PEDRO'!E19+'SANTIAGO RDGUEZ'!E19+'VILLA GONZALEZ'!E19+MOCA!E19+'VILLA LIBERACION'!E19+BONAO!E19+GALVAN!E19+BOHECHIO!E19+PARAISO!E19+'ARROYO CANO'!E19+'POSTRER RIO'!E19+'EL YAQUE'!E19+ENRIQUILLO!E19+'HATO MAYOR'!E19+'LOTERIA NAC.'!E19+UASD!E19+HIGUEY!E19</f>
        <v>0</v>
      </c>
      <c r="F19" s="318">
        <f t="shared" si="0"/>
        <v>0</v>
      </c>
      <c r="G19" s="266">
        <f>+'ADM 1'!Q19+'ADM 2'!L19+'LOS MINA'!M19+'LA VILLA'!J19+'LOS ALCARRIZOS'!J19+'LAS CAOBAS'!J19+AZUA!J19+BARAHONA!J19+BAYAGUANA!J19+'BATEY 6'!J19+BOYA!J19+'BOCA CACHON'!J19+'CRISTO REY'!J19+CONSTANZA!J19+CRISTOBAL!J19+DAJABON!J19+'EL SEYBO'!J19+'ELIAS PIÑA'!J19+'LA VEGA'!J19+MAO!J19+'LA ROMANA'!J19+'MONTE PLATA'!J19+MANZANILLO!J19+MONTECRISTI!J19+NAGUA!J19+NAVARRETE!J19+OCOA!J19+NEYBA!J19+PEDERNALES!J19+PEKIN!J19+PLATANITOS!J19+QUISQUEYA!J19+'PUERTO PLATA'!J19+SAMANA!J19+'SAN CRISTOBAL'!J19+'SAN FCO'!J19+'SAN JUAN'!J19+'SAN PEDRO'!J19+'SANTIAGO RDGUEZ'!J19+'VILLA GONZALEZ'!J19+MOCA!J19+'VILLA LIBERACION'!J19+BONAO!J19+GALVAN!J19+BOHECHIO!J19+PARAISO!J19+'ARROYO CANO'!J19+'POSTRER RIO'!J19+'EL YAQUE'!J19+ENRIQUILLO!J19+'HATO MAYOR'!J19+'LOTERIA NAC.'!J19+UASD!J19+HIGUEY!J19</f>
        <v>7750</v>
      </c>
      <c r="H19" s="270">
        <f>+'ADM 1'!R19+'ADM 2'!M19+'LOS MINA'!N19+'LA VILLA'!K19+'LOS ALCARRIZOS'!K19+'LAS CAOBAS'!K19+AZUA!K19+BARAHONA!K19+BAYAGUANA!K19+'BATEY 6'!K19+BOYA!K19+'BOCA CACHON'!K19+'CRISTO REY'!K19+CONSTANZA!K19+CRISTOBAL!K19+DAJABON!K19+'EL SEYBO'!K19+'ELIAS PIÑA'!K19+'LA VEGA'!K19+MAO!K19+'LA ROMANA'!K19+'MONTE PLATA'!K19+MANZANILLO!K19+MONTECRISTI!K19+NAGUA!K19+NAVARRETE!K19+OCOA!K19+NEYBA!K19+PEDERNALES!K19+PEKIN!K19+PLATANITOS!K19+QUISQUEYA!K19+'PUERTO PLATA'!K19+SAMANA!K19+'SAN CRISTOBAL'!K19+'SAN FCO'!K19+'SAN JUAN'!K19+'SAN PEDRO'!K19+'SANTIAGO RDGUEZ'!K19+'VILLA GONZALEZ'!K19+MOCA!K19+'VILLA LIBERACION'!K19+BONAO!K19+GALVAN!K19+BOHECHIO!K19+PARAISO!K19+'ARROYO CANO'!K19+'POSTRER RIO'!K19+'EL YAQUE'!K19+ENRIQUILLO!K19+'HATO MAYOR'!K19+'LOTERIA NAC.'!K19+UASD!K19+HIGUEY!K19</f>
        <v>393</v>
      </c>
      <c r="I19" s="270">
        <f>+'ADM 1'!S19+'ADM 2'!N19+'LOS MINA'!O19+'LA VILLA'!L19+'LOS ALCARRIZOS'!L19+'LAS CAOBAS'!L19+AZUA!L19+BARAHONA!L19+BAYAGUANA!L19+'BATEY 6'!L19+BOYA!L19+'BOCA CACHON'!L19+'CRISTO REY'!L19+CONSTANZA!L19+CRISTOBAL!L19+DAJABON!L19+'EL SEYBO'!L19+'ELIAS PIÑA'!L19+'LA VEGA'!L19+MAO!L19+'LA ROMANA'!L19+'MONTE PLATA'!L19+MANZANILLO!L19+MONTECRISTI!L19+NAGUA!L19+NAVARRETE!L19+OCOA!L19+NEYBA!L19+PEDERNALES!L19+PEKIN!L19+PLATANITOS!L19+QUISQUEYA!L19+'PUERTO PLATA'!L19+SAMANA!L19+'SAN CRISTOBAL'!L19+'SAN FCO'!L19+'SAN JUAN'!L19+'SAN PEDRO'!L19+'SANTIAGO RDGUEZ'!L19+'VILLA GONZALEZ'!L19+MOCA!L19+'VILLA LIBERACION'!L19+BONAO!L19+GALVAN!L19+BOHECHIO!L19+PARAISO!L19+'ARROYO CANO'!L19+'POSTRER RIO'!L19+'EL YAQUE'!L19+ENRIQUILLO!L19+'HATO MAYOR'!L19+'LOTERIA NAC.'!L19+UASD!L19+HIGUEY!L19</f>
        <v>9451</v>
      </c>
      <c r="J19" s="270">
        <f>+'ADM 1'!T19+'ADM 2'!O19+'LOS MINA'!P19+'LA VILLA'!M19+'LOS ALCARRIZOS'!M19+'LAS CAOBAS'!M19+AZUA!M19+BARAHONA!M19+BAYAGUANA!M19+'BATEY 6'!M19+BOYA!M19+'BOCA CACHON'!M19+'CRISTO REY'!M19+CONSTANZA!M19+CRISTOBAL!M19+DAJABON!M19+'EL SEYBO'!M19+'ELIAS PIÑA'!M19+'LA VEGA'!M19+MAO!M19+'LA ROMANA'!M19+'MONTE PLATA'!M19+MANZANILLO!M19+MONTECRISTI!M19+NAGUA!M19+NAVARRETE!M19+OCOA!M19+NEYBA!M19+PEDERNALES!M19+PEKIN!M19+PLATANITOS!M19+QUISQUEYA!M19+'PUERTO PLATA'!M19+SAMANA!M19+'SAN CRISTOBAL'!M19+'SAN FCO'!M19+'SAN JUAN'!M19+'SAN PEDRO'!M19+'SANTIAGO RDGUEZ'!M19+'VILLA GONZALEZ'!M19+MOCA!M19+'VILLA LIBERACION'!M19+BONAO!M19+GALVAN!M19+BOHECHIO!M19+PARAISO!M19+'ARROYO CANO'!M19+'POSTRER RIO'!M19+'EL YAQUE'!M19+ENRIQUILLO!M19+'HATO MAYOR'!M19+'LOTERIA NAC.'!M19+UASD!M19+HIGUEY!M19</f>
        <v>0</v>
      </c>
      <c r="K19" s="256">
        <f t="shared" si="1"/>
        <v>9844</v>
      </c>
      <c r="L19" s="269">
        <f>+'ADM 1'!V19+'ADM 2'!Q19+'LA VILLA'!O19+'LOS ALCARRIZOS'!O19+'LOS MINA'!R19+'LAS CAOBAS'!O19+AZUA!O19+BARAHONA!O19+BAYAGUANA!O19+'BATEY 6'!O19+BOYA!O19+'BOCA CACHON'!O19+'CRISTO REY'!O30+CONSTANZA!O19+CRISTOBAL!O19+DAJABON!O19+'EL SEYBO'!O19+'ELIAS PIÑA'!O19+'LA VEGA'!O19+MAO!O19+'LA ROMANA'!O19+'MONTE PLATA'!O19+MANZANILLO!O19+MONTECRISTI!O19+NAGUA!O19+NAVARRETE!O19+OCOA!O19+NEYBA!O19+PEDERNALES!O19+PEKIN!O19+PLATANITOS!O19+QUISQUEYA!O19+'PUERTO PLATA'!O19+SAMANA!O19+'SAN CRISTOBAL'!O19+'SAN FCO'!O19+'SAN JUAN'!O19+'SAN PEDRO'!O19+'SANTIAGO RDGUEZ'!O19+'VILLA GONZALEZ'!O19+MOCA!O19+'VILLA LIBERACION'!O19+BONAO!O19+GALVAN!O19+BOHECHIO!O20+PARAISO!O19+'ARROYO CANO'!O19+'POSTRER RIO'!O19+'EL YAQUE'!O19+ENRIQUILLO!O19+'HATO MAYOR'!O19+'LOTERIA NAC.'!O19+UASD!O19+HIGUEY!O19</f>
        <v>0</v>
      </c>
      <c r="M19" s="269">
        <f>+'ADM 1'!W19+'ADM 2'!R19+'LA VILLA'!P19+'LOS ALCARRIZOS'!P19+'LOS MINA'!S19+'LAS CAOBAS'!P19+AZUA!P19+BARAHONA!P19+BAYAGUANA!P19+'BATEY 6'!P19+BOYA!P19+'BOCA CACHON'!P19+'CRISTO REY'!P30+CONSTANZA!P19+CRISTOBAL!P19+DAJABON!P19+'EL SEYBO'!P19+'ELIAS PIÑA'!P19+'LA VEGA'!P19+MAO!P19+'LA ROMANA'!P19+'MONTE PLATA'!P19+MANZANILLO!P19+MONTECRISTI!P19+NAGUA!P19+NAVARRETE!P19+OCOA!P19+NEYBA!P19+PEDERNALES!P19+PEKIN!P19+PLATANITOS!P19+QUISQUEYA!P19+'PUERTO PLATA'!P19+SAMANA!P19+'SAN CRISTOBAL'!P19+'SAN FCO'!P19+'SAN JUAN'!P19+'SAN PEDRO'!P19+'SANTIAGO RDGUEZ'!P19+'VILLA GONZALEZ'!P19+MOCA!P19+'VILLA LIBERACION'!P19+BONAO!P19+GALVAN!P19+BOHECHIO!P20+PARAISO!P19+'ARROYO CANO'!P19+'POSTRER RIO'!P19+'EL YAQUE'!P19+ENRIQUILLO!P19+'HATO MAYOR'!P19+'LOTERIA NAC.'!P19+UASD!P19+HIGUEY!P19</f>
        <v>0</v>
      </c>
      <c r="N19" s="187">
        <f t="shared" si="2"/>
        <v>9844</v>
      </c>
      <c r="O19" s="183">
        <f t="shared" si="3"/>
        <v>17594</v>
      </c>
      <c r="S19" s="70"/>
      <c r="T19" s="3"/>
      <c r="U19" s="3"/>
      <c r="V19" s="70">
        <f t="shared" si="4"/>
        <v>0</v>
      </c>
    </row>
    <row r="20" spans="3:22" ht="15" customHeight="1" x14ac:dyDescent="0.3">
      <c r="C20" s="26">
        <v>5</v>
      </c>
      <c r="D20" s="264">
        <f>+'ADM 1'!D20+'ADM 2'!D20+'LA VILLA'!D20+'LOS ALCARRIZOS'!D20+'LOS MINA'!D20+'LAS CAOBAS'!D20+AZUA!D20+BARAHONA!D20+BAYAGUANA!D20+'BATEY 6'!D20+BOYA!D20+'BOCA CACHON'!D20+'CRISTO REY'!D31+CONSTANZA!D20+CRISTOBAL!D20+DAJABON!D20+'EL SEYBO'!D20+'ELIAS PIÑA'!D20+'LA VEGA'!D20+MAO!D20+'LA ROMANA'!D20+'MONTE PLATA'!D20+MANZANILLO!D20+MONTECRISTI!D20+NAGUA!D20+NAVARRETE!D20+OCOA!D20+NEYBA!D20+PEDERNALES!D20+PEKIN!D20+PLATANITOS!D20+QUISQUEYA!D20+'PUERTO PLATA'!D20+SAMANA!D20+'SAN CRISTOBAL'!D20+'SAN FCO'!D20+'SAN JUAN'!D20+'SAN PEDRO'!D20+'SANTIAGO RDGUEZ'!D20+'VILLA GONZALEZ'!D20+MOCA!D20+'VILLA LIBERACION'!D20+BONAO!D20+GALVAN!D20+BOHECHIO!D20+PARAISO!D20+'ARROYO CANO'!D20+'POSTRER RIO'!D20+'EL YAQUE'!D20+ENRIQUILLO!D20+'HATO MAYOR'!D20+'LOTERIA NAC.'!D20+UASD!D20+HIGUEY!D20</f>
        <v>18</v>
      </c>
      <c r="E20" s="264">
        <f>+'ADM 1'!E20+'ADM 2'!E20+'LA VILLA'!E20+'LOS ALCARRIZOS'!E20+'LOS MINA'!E20+'LAS CAOBAS'!E20+AZUA!E20+BARAHONA!E20+BAYAGUANA!E20+'BATEY 6'!E20+BOYA!E20+'BOCA CACHON'!E20+'CRISTO REY'!E31+CONSTANZA!E20+CRISTOBAL!E20+DAJABON!E20+'EL SEYBO'!E20+'ELIAS PIÑA'!E20+'LA VEGA'!E20+MAO!E20+'LA ROMANA'!E20+'MONTE PLATA'!E20+MANZANILLO!E20+MONTECRISTI!E20+NAGUA!E20+NAVARRETE!E20+OCOA!E20+NEYBA!E20+PEDERNALES!E20+PEKIN!E20+PLATANITOS!E20+QUISQUEYA!E20+'PUERTO PLATA'!E20+SAMANA!E20+'SAN CRISTOBAL'!E20+'SAN FCO'!E20+'SAN JUAN'!E20+'SAN PEDRO'!E20+'SANTIAGO RDGUEZ'!E20+'VILLA GONZALEZ'!E20+MOCA!E20+'VILLA LIBERACION'!E20+BONAO!E20+GALVAN!E20+BOHECHIO!E20+PARAISO!E20+'ARROYO CANO'!E20+'POSTRER RIO'!E20+'EL YAQUE'!E20+ENRIQUILLO!E20+'HATO MAYOR'!E20+'LOTERIA NAC.'!E20+UASD!E20+HIGUEY!E20</f>
        <v>0</v>
      </c>
      <c r="F20" s="318">
        <f t="shared" si="0"/>
        <v>18</v>
      </c>
      <c r="G20" s="266">
        <f>+'ADM 1'!Q20+'ADM 2'!L20+'LOS MINA'!M20+'LA VILLA'!J20+'LOS ALCARRIZOS'!J20+'LAS CAOBAS'!J20+AZUA!J20+BARAHONA!J20+BAYAGUANA!J20+'BATEY 6'!J20+BOYA!J20+'BOCA CACHON'!J20+'CRISTO REY'!J20+CONSTANZA!J20+CRISTOBAL!J20+DAJABON!J20+'EL SEYBO'!J20+'ELIAS PIÑA'!J20+'LA VEGA'!J20+MAO!J20+'LA ROMANA'!J20+'MONTE PLATA'!J20+MANZANILLO!J20+MONTECRISTI!J20+NAGUA!J20+NAVARRETE!J20+OCOA!J20+NEYBA!J20+PEDERNALES!J20+PEKIN!J20+PLATANITOS!J20+QUISQUEYA!J20+'PUERTO PLATA'!J20+SAMANA!J20+'SAN CRISTOBAL'!J20+'SAN FCO'!J20+'SAN JUAN'!J20+'SAN PEDRO'!J20+'SANTIAGO RDGUEZ'!J20+'VILLA GONZALEZ'!J20+MOCA!J20+'VILLA LIBERACION'!J20+BONAO!J20+GALVAN!J20+BOHECHIO!J20+PARAISO!J20+'ARROYO CANO'!J20+'POSTRER RIO'!J20+'EL YAQUE'!J20+ENRIQUILLO!J20+'HATO MAYOR'!J20+'LOTERIA NAC.'!J20+UASD!J20+HIGUEY!J20</f>
        <v>10395</v>
      </c>
      <c r="H20" s="270">
        <f>+'ADM 1'!R20+'ADM 2'!M20+'LOS MINA'!N20+'LA VILLA'!K20+'LOS ALCARRIZOS'!K20+'LAS CAOBAS'!K20+AZUA!K20+BARAHONA!K20+BAYAGUANA!K20+'BATEY 6'!K20+BOYA!K20+'BOCA CACHON'!K20+'CRISTO REY'!K20+CONSTANZA!K20+CRISTOBAL!K20+DAJABON!K20+'EL SEYBO'!K20+'ELIAS PIÑA'!K20+'LA VEGA'!K20+MAO!K20+'LA ROMANA'!K20+'MONTE PLATA'!K20+MANZANILLO!K20+MONTECRISTI!K20+NAGUA!K20+NAVARRETE!K20+OCOA!K20+NEYBA!K20+PEDERNALES!K20+PEKIN!K20+PLATANITOS!K20+QUISQUEYA!K20+'PUERTO PLATA'!K20+SAMANA!K20+'SAN CRISTOBAL'!K20+'SAN FCO'!K20+'SAN JUAN'!K20+'SAN PEDRO'!K20+'SANTIAGO RDGUEZ'!K20+'VILLA GONZALEZ'!K20+MOCA!K20+'VILLA LIBERACION'!K20+BONAO!K20+GALVAN!K20+BOHECHIO!K20+PARAISO!K20+'ARROYO CANO'!K20+'POSTRER RIO'!K20+'EL YAQUE'!K20+ENRIQUILLO!K20+'HATO MAYOR'!K20+'LOTERIA NAC.'!K20+UASD!K20+HIGUEY!K20</f>
        <v>2452</v>
      </c>
      <c r="I20" s="270">
        <f>+'ADM 1'!S20+'ADM 2'!N20+'LOS MINA'!O20+'LA VILLA'!L20+'LOS ALCARRIZOS'!L20+'LAS CAOBAS'!L20+AZUA!L20+BARAHONA!L20+BAYAGUANA!L20+'BATEY 6'!L20+BOYA!L20+'BOCA CACHON'!L20+'CRISTO REY'!L20+CONSTANZA!L20+CRISTOBAL!L20+DAJABON!L20+'EL SEYBO'!L20+'ELIAS PIÑA'!L20+'LA VEGA'!L20+MAO!L20+'LA ROMANA'!L20+'MONTE PLATA'!L20+MANZANILLO!L20+MONTECRISTI!L20+NAGUA!L20+NAVARRETE!L20+OCOA!L20+NEYBA!L20+PEDERNALES!L20+PEKIN!L20+PLATANITOS!L20+QUISQUEYA!L20+'PUERTO PLATA'!L20+SAMANA!L20+'SAN CRISTOBAL'!L20+'SAN FCO'!L20+'SAN JUAN'!L20+'SAN PEDRO'!L20+'SANTIAGO RDGUEZ'!L20+'VILLA GONZALEZ'!L20+MOCA!L20+'VILLA LIBERACION'!L20+BONAO!L20+GALVAN!L20+BOHECHIO!L20+PARAISO!L20+'ARROYO CANO'!L20+'POSTRER RIO'!L20+'EL YAQUE'!L20+ENRIQUILLO!L20+'HATO MAYOR'!L20+'LOTERIA NAC.'!L20+UASD!L20+HIGUEY!L20</f>
        <v>75380</v>
      </c>
      <c r="J20" s="270">
        <f>+'ADM 1'!T20+'ADM 2'!O20+'LOS MINA'!P20+'LA VILLA'!M20+'LOS ALCARRIZOS'!M20+'LAS CAOBAS'!M20+AZUA!M20+BARAHONA!M20+BAYAGUANA!M20+'BATEY 6'!M20+BOYA!M20+'BOCA CACHON'!M20+'CRISTO REY'!M20+CONSTANZA!M20+CRISTOBAL!M20+DAJABON!M20+'EL SEYBO'!M20+'ELIAS PIÑA'!M20+'LA VEGA'!M20+MAO!M20+'LA ROMANA'!M20+'MONTE PLATA'!M20+MANZANILLO!M20+MONTECRISTI!M20+NAGUA!M20+NAVARRETE!M20+OCOA!M20+NEYBA!M20+PEDERNALES!M20+PEKIN!M20+PLATANITOS!M20+QUISQUEYA!M20+'PUERTO PLATA'!M20+SAMANA!M20+'SAN CRISTOBAL'!M20+'SAN FCO'!M20+'SAN JUAN'!M20+'SAN PEDRO'!M20+'SANTIAGO RDGUEZ'!M20+'VILLA GONZALEZ'!M20+MOCA!M20+'VILLA LIBERACION'!M20+BONAO!M20+GALVAN!M20+BOHECHIO!M20+PARAISO!M20+'ARROYO CANO'!M20+'POSTRER RIO'!M20+'EL YAQUE'!M20+ENRIQUILLO!M20+'HATO MAYOR'!M20+'LOTERIA NAC.'!M20+UASD!M20+HIGUEY!M20</f>
        <v>2437</v>
      </c>
      <c r="K20" s="256">
        <f t="shared" si="1"/>
        <v>80269</v>
      </c>
      <c r="L20" s="269">
        <f>+'ADM 1'!V20+'ADM 2'!Q20+'LA VILLA'!O20+'LOS ALCARRIZOS'!O20+'LOS MINA'!R20+'LAS CAOBAS'!O20+AZUA!O20+BARAHONA!O20+BAYAGUANA!O20+'BATEY 6'!O20+BOYA!O20+'BOCA CACHON'!O20+'CRISTO REY'!O31+CONSTANZA!O20+CRISTOBAL!O20+DAJABON!O20+'EL SEYBO'!O20+'ELIAS PIÑA'!O20+'LA VEGA'!O20+MAO!O20+'LA ROMANA'!O20+'MONTE PLATA'!O20+MANZANILLO!O20+MONTECRISTI!O20+NAGUA!O20+NAVARRETE!O20+OCOA!O20+NEYBA!O20+PEDERNALES!O20+PEKIN!O20+PLATANITOS!O20+QUISQUEYA!O20+'PUERTO PLATA'!O20+SAMANA!O20+'SAN CRISTOBAL'!O20+'SAN FCO'!O20+'SAN JUAN'!O20+'SAN PEDRO'!O20+'SANTIAGO RDGUEZ'!O20+'VILLA GONZALEZ'!O20+MOCA!O20+'VILLA LIBERACION'!O20+BONAO!O20+GALVAN!O20+BOHECHIO!O21+PARAISO!O20+'ARROYO CANO'!O20+'POSTRER RIO'!O20+'EL YAQUE'!O20+ENRIQUILLO!O20+'HATO MAYOR'!O20+'LOTERIA NAC.'!O20+UASD!O20+HIGUEY!O20</f>
        <v>0</v>
      </c>
      <c r="M20" s="269">
        <f>+'ADM 1'!W20+'ADM 2'!R20+'LA VILLA'!P20+'LOS ALCARRIZOS'!P20+'LOS MINA'!S20+'LAS CAOBAS'!P20+AZUA!P20+BARAHONA!P20+BAYAGUANA!P20+'BATEY 6'!P20+BOYA!P20+'BOCA CACHON'!P20+'CRISTO REY'!P31+CONSTANZA!P20+CRISTOBAL!P20+DAJABON!P20+'EL SEYBO'!P20+'ELIAS PIÑA'!P20+'LA VEGA'!P20+MAO!P20+'LA ROMANA'!P20+'MONTE PLATA'!P20+MANZANILLO!P20+MONTECRISTI!P20+NAGUA!P20+NAVARRETE!P20+OCOA!P20+NEYBA!P20+PEDERNALES!P20+PEKIN!P20+PLATANITOS!P20+QUISQUEYA!P20+'PUERTO PLATA'!P20+SAMANA!P20+'SAN CRISTOBAL'!P20+'SAN FCO'!P20+'SAN JUAN'!P20+'SAN PEDRO'!P20+'SANTIAGO RDGUEZ'!P20+'VILLA GONZALEZ'!P20+MOCA!P20+'VILLA LIBERACION'!P20+BONAO!P20+GALVAN!P20+BOHECHIO!P21+PARAISO!P20+'ARROYO CANO'!P20+'POSTRER RIO'!P20+'EL YAQUE'!P20+ENRIQUILLO!P20+'HATO MAYOR'!P20+'LOTERIA NAC.'!P20+UASD!P20+HIGUEY!P20</f>
        <v>0</v>
      </c>
      <c r="N20" s="187">
        <f t="shared" si="2"/>
        <v>80269</v>
      </c>
      <c r="O20" s="183">
        <f t="shared" si="3"/>
        <v>90682</v>
      </c>
      <c r="S20" s="70"/>
      <c r="T20" s="3"/>
      <c r="U20" s="3"/>
      <c r="V20" s="70">
        <f t="shared" si="4"/>
        <v>0</v>
      </c>
    </row>
    <row r="21" spans="3:22" ht="15" customHeight="1" x14ac:dyDescent="0.3">
      <c r="C21" s="28">
        <v>6</v>
      </c>
      <c r="D21" s="264">
        <f>+'ADM 1'!D21+'ADM 2'!D21+'LA VILLA'!D21+'LOS ALCARRIZOS'!D21+'LOS MINA'!D21+'LAS CAOBAS'!D21+AZUA!D21+BARAHONA!D21+BAYAGUANA!D21+'BATEY 6'!D21+BOYA!D21+'BOCA CACHON'!D21+'CRISTO REY'!D32+CONSTANZA!D21+CRISTOBAL!D21+DAJABON!D21+'EL SEYBO'!D21+'ELIAS PIÑA'!D21+'LA VEGA'!D21+MAO!D21+'LA ROMANA'!D21+'MONTE PLATA'!D21+MANZANILLO!D21+MONTECRISTI!D21+NAGUA!D21+NAVARRETE!D21+OCOA!D21+NEYBA!D21+PEDERNALES!D21+PEKIN!D21+PLATANITOS!D21+QUISQUEYA!D21+'PUERTO PLATA'!D21+SAMANA!D21+'SAN CRISTOBAL'!D21+'SAN FCO'!D21+'SAN JUAN'!D21+'SAN PEDRO'!D21+'SANTIAGO RDGUEZ'!D21+'VILLA GONZALEZ'!D21+MOCA!D21+'VILLA LIBERACION'!D21+BONAO!D21+GALVAN!D21+BOHECHIO!D21+PARAISO!D21+'ARROYO CANO'!D21+'POSTRER RIO'!D21+'EL YAQUE'!D21+ENRIQUILLO!D21+'HATO MAYOR'!D21+'LOTERIA NAC.'!D21+UASD!D21+HIGUEY!D21</f>
        <v>27</v>
      </c>
      <c r="E21" s="264">
        <f>+'ADM 1'!E21+'ADM 2'!E21+'LA VILLA'!E21+'LOS ALCARRIZOS'!E21+'LOS MINA'!E21+'LAS CAOBAS'!E21+AZUA!E21+BARAHONA!E21+BAYAGUANA!E21+'BATEY 6'!E21+BOYA!E21+'BOCA CACHON'!E21+'CRISTO REY'!E32+CONSTANZA!E21+CRISTOBAL!E21+DAJABON!E21+'EL SEYBO'!E21+'ELIAS PIÑA'!E21+'LA VEGA'!E21+MAO!E21+'LA ROMANA'!E21+'MONTE PLATA'!E21+MANZANILLO!E21+MONTECRISTI!E21+NAGUA!E21+NAVARRETE!E21+OCOA!E21+NEYBA!E21+PEDERNALES!E21+PEKIN!E21+PLATANITOS!E21+QUISQUEYA!E21+'PUERTO PLATA'!E21+SAMANA!E21+'SAN CRISTOBAL'!E21+'SAN FCO'!E21+'SAN JUAN'!E21+'SAN PEDRO'!E21+'SANTIAGO RDGUEZ'!E21+'VILLA GONZALEZ'!E21+MOCA!E21+'VILLA LIBERACION'!E21+BONAO!E21+GALVAN!E21+BOHECHIO!E21+PARAISO!E21+'ARROYO CANO'!E21+'POSTRER RIO'!E21+'EL YAQUE'!E21+ENRIQUILLO!E21+'HATO MAYOR'!E21+'LOTERIA NAC.'!E21+UASD!E21+HIGUEY!E21</f>
        <v>0</v>
      </c>
      <c r="F21" s="318">
        <f t="shared" si="0"/>
        <v>27</v>
      </c>
      <c r="G21" s="266">
        <f>+'ADM 1'!Q21+'ADM 2'!L21+'LOS MINA'!M21+'LA VILLA'!J21+'LOS ALCARRIZOS'!J21+'LAS CAOBAS'!J21+AZUA!J21+BARAHONA!J21+BAYAGUANA!J21+'BATEY 6'!J21+BOYA!J21+'BOCA CACHON'!J21+'CRISTO REY'!J21+CONSTANZA!J21+CRISTOBAL!J21+DAJABON!J21+'EL SEYBO'!J21+'ELIAS PIÑA'!J21+'LA VEGA'!J21+MAO!J21+'LA ROMANA'!J21+'MONTE PLATA'!J21+MANZANILLO!J21+MONTECRISTI!J21+NAGUA!J21+NAVARRETE!J21+OCOA!J21+NEYBA!J21+PEDERNALES!J21+PEKIN!J21+PLATANITOS!J21+QUISQUEYA!J21+'PUERTO PLATA'!J21+SAMANA!J21+'SAN CRISTOBAL'!J21+'SAN FCO'!J21+'SAN JUAN'!J21+'SAN PEDRO'!J21+'SANTIAGO RDGUEZ'!J21+'VILLA GONZALEZ'!J21+MOCA!J21+'VILLA LIBERACION'!J21+BONAO!J21+GALVAN!J21+BOHECHIO!J21+PARAISO!J21+'ARROYO CANO'!J21+'POSTRER RIO'!J21+'EL YAQUE'!J21+ENRIQUILLO!J21+'HATO MAYOR'!J21+'LOTERIA NAC.'!J21+UASD!J21+HIGUEY!J21</f>
        <v>11251</v>
      </c>
      <c r="H21" s="270">
        <f>+'ADM 1'!R21+'ADM 2'!M21+'LOS MINA'!N21+'LA VILLA'!K21+'LOS ALCARRIZOS'!K21+'LAS CAOBAS'!K21+AZUA!K21+BARAHONA!K21+BAYAGUANA!K21+'BATEY 6'!K21+BOYA!K21+'BOCA CACHON'!K21+'CRISTO REY'!K21+CONSTANZA!K21+CRISTOBAL!K21+DAJABON!K21+'EL SEYBO'!K21+'ELIAS PIÑA'!K21+'LA VEGA'!K21+MAO!K21+'LA ROMANA'!K21+'MONTE PLATA'!K21+MANZANILLO!K21+MONTECRISTI!K21+NAGUA!K21+NAVARRETE!K21+OCOA!K21+NEYBA!K21+PEDERNALES!K21+PEKIN!K21+PLATANITOS!K21+QUISQUEYA!K21+'PUERTO PLATA'!K21+SAMANA!K21+'SAN CRISTOBAL'!K21+'SAN FCO'!K21+'SAN JUAN'!K21+'SAN PEDRO'!K21+'SANTIAGO RDGUEZ'!K21+'VILLA GONZALEZ'!K21+MOCA!K21+'VILLA LIBERACION'!K21+BONAO!K21+GALVAN!K21+BOHECHIO!K21+PARAISO!K21+'ARROYO CANO'!K21+'POSTRER RIO'!K21+'EL YAQUE'!K21+ENRIQUILLO!K21+'HATO MAYOR'!K21+'LOTERIA NAC.'!K21+UASD!K21+HIGUEY!K21</f>
        <v>2409</v>
      </c>
      <c r="I21" s="270">
        <f>+'ADM 1'!S21+'ADM 2'!N21+'LOS MINA'!O21+'LA VILLA'!L21+'LOS ALCARRIZOS'!L21+'LAS CAOBAS'!L21+AZUA!L21+BARAHONA!L21+BAYAGUANA!L21+'BATEY 6'!L21+BOYA!L21+'BOCA CACHON'!L21+'CRISTO REY'!L21+CONSTANZA!L21+CRISTOBAL!L21+DAJABON!L21+'EL SEYBO'!L21+'ELIAS PIÑA'!L21+'LA VEGA'!L21+MAO!L21+'LA ROMANA'!L21+'MONTE PLATA'!L21+MANZANILLO!L21+MONTECRISTI!L21+NAGUA!L21+NAVARRETE!L21+OCOA!L21+NEYBA!L21+PEDERNALES!L21+PEKIN!L21+PLATANITOS!L21+QUISQUEYA!L21+'PUERTO PLATA'!L21+SAMANA!L21+'SAN CRISTOBAL'!L21+'SAN FCO'!L21+'SAN JUAN'!L21+'SAN PEDRO'!L21+'SANTIAGO RDGUEZ'!L21+'VILLA GONZALEZ'!L21+MOCA!L21+'VILLA LIBERACION'!L21+BONAO!L21+GALVAN!L21+BOHECHIO!L21+PARAISO!L21+'ARROYO CANO'!L21+'POSTRER RIO'!L21+'EL YAQUE'!L21+ENRIQUILLO!L21+'HATO MAYOR'!L21+'LOTERIA NAC.'!L21+UASD!L21+HIGUEY!L21</f>
        <v>75217</v>
      </c>
      <c r="J21" s="270">
        <f>+'ADM 1'!T21+'ADM 2'!O21+'LOS MINA'!P21+'LA VILLA'!M21+'LOS ALCARRIZOS'!M21+'LAS CAOBAS'!M21+AZUA!M21+BARAHONA!M21+BAYAGUANA!M21+'BATEY 6'!M21+BOYA!M21+'BOCA CACHON'!M21+'CRISTO REY'!M21+CONSTANZA!M21+CRISTOBAL!M21+DAJABON!M21+'EL SEYBO'!M21+'ELIAS PIÑA'!M21+'LA VEGA'!M21+MAO!M21+'LA ROMANA'!M21+'MONTE PLATA'!M21+MANZANILLO!M21+MONTECRISTI!M21+NAGUA!M21+NAVARRETE!M21+OCOA!M21+NEYBA!M21+PEDERNALES!M21+PEKIN!M21+PLATANITOS!M21+QUISQUEYA!M21+'PUERTO PLATA'!M21+SAMANA!M21+'SAN CRISTOBAL'!M21+'SAN FCO'!M21+'SAN JUAN'!M21+'SAN PEDRO'!M21+'SANTIAGO RDGUEZ'!M21+'VILLA GONZALEZ'!M21+MOCA!M21+'VILLA LIBERACION'!M21+BONAO!M21+GALVAN!M21+BOHECHIO!M21+PARAISO!M21+'ARROYO CANO'!M21+'POSTRER RIO'!M21+'EL YAQUE'!M21+ENRIQUILLO!M21+'HATO MAYOR'!M21+'LOTERIA NAC.'!M21+UASD!M21+HIGUEY!M21</f>
        <v>1932</v>
      </c>
      <c r="K21" s="256">
        <f t="shared" si="1"/>
        <v>79558</v>
      </c>
      <c r="L21" s="269">
        <f>+'ADM 1'!V21+'ADM 2'!Q21+'LA VILLA'!O21+'LOS ALCARRIZOS'!O21+'LOS MINA'!R21+'LAS CAOBAS'!O21+AZUA!O21+BARAHONA!O21+BAYAGUANA!O21+'BATEY 6'!O21+BOYA!O21+'BOCA CACHON'!O21+'CRISTO REY'!O32+CONSTANZA!O21+CRISTOBAL!O21+DAJABON!O21+'EL SEYBO'!O21+'ELIAS PIÑA'!O21+'LA VEGA'!O21+MAO!O21+'LA ROMANA'!O21+'MONTE PLATA'!O21+MANZANILLO!O21+MONTECRISTI!O21+NAGUA!O21+NAVARRETE!O21+OCOA!O21+NEYBA!O21+PEDERNALES!O21+PEKIN!O21+PLATANITOS!O21+QUISQUEYA!O21+'PUERTO PLATA'!O21+SAMANA!O21+'SAN CRISTOBAL'!O21+'SAN FCO'!O21+'SAN JUAN'!O21+'SAN PEDRO'!O21+'SANTIAGO RDGUEZ'!O21+'VILLA GONZALEZ'!O21+MOCA!O21+'VILLA LIBERACION'!O21+BONAO!O21+GALVAN!O21+BOHECHIO!O22+PARAISO!O21+'ARROYO CANO'!O21+'POSTRER RIO'!O21+'EL YAQUE'!O21+ENRIQUILLO!O21+'HATO MAYOR'!O21+'LOTERIA NAC.'!O21+UASD!O21+HIGUEY!O21</f>
        <v>0</v>
      </c>
      <c r="M21" s="269">
        <f>+'ADM 1'!W21+'ADM 2'!R21+'LA VILLA'!P21+'LOS ALCARRIZOS'!P21+'LOS MINA'!S21+'LAS CAOBAS'!P21+AZUA!P21+BARAHONA!P21+BAYAGUANA!P21+'BATEY 6'!P21+BOYA!P21+'BOCA CACHON'!P21+'CRISTO REY'!P32+CONSTANZA!P21+CRISTOBAL!P21+DAJABON!P21+'EL SEYBO'!P21+'ELIAS PIÑA'!P21+'LA VEGA'!P21+MAO!P21+'LA ROMANA'!P21+'MONTE PLATA'!P21+MANZANILLO!P21+MONTECRISTI!P21+NAGUA!P21+NAVARRETE!P21+OCOA!P21+NEYBA!P21+PEDERNALES!P21+PEKIN!P21+PLATANITOS!P21+QUISQUEYA!P21+'PUERTO PLATA'!P21+SAMANA!P21+'SAN CRISTOBAL'!P21+'SAN FCO'!P21+'SAN JUAN'!P21+'SAN PEDRO'!P21+'SANTIAGO RDGUEZ'!P21+'VILLA GONZALEZ'!P21+MOCA!P21+'VILLA LIBERACION'!P21+BONAO!P21+GALVAN!P21+BOHECHIO!P22+PARAISO!P21+'ARROYO CANO'!P21+'POSTRER RIO'!P21+'EL YAQUE'!P21+ENRIQUILLO!P21+'HATO MAYOR'!P21+'LOTERIA NAC.'!P21+UASD!P21+HIGUEY!P21</f>
        <v>0</v>
      </c>
      <c r="N21" s="187">
        <f t="shared" si="2"/>
        <v>79558</v>
      </c>
      <c r="O21" s="183">
        <f t="shared" si="3"/>
        <v>90836</v>
      </c>
      <c r="S21" s="70"/>
      <c r="T21" s="3"/>
      <c r="U21" s="3"/>
      <c r="V21" s="70">
        <f t="shared" si="4"/>
        <v>0</v>
      </c>
    </row>
    <row r="22" spans="3:22" ht="15" customHeight="1" x14ac:dyDescent="0.3">
      <c r="C22" s="26">
        <v>7</v>
      </c>
      <c r="D22" s="264">
        <f>+'ADM 1'!D22+'ADM 2'!D22+'LA VILLA'!D22+'LOS ALCARRIZOS'!D22+'LOS MINA'!D22+'LAS CAOBAS'!D22+AZUA!D22+BARAHONA!D22+BAYAGUANA!D22+'BATEY 6'!D22+BOYA!D22+'BOCA CACHON'!D22+'CRISTO REY'!D33+CONSTANZA!D22+CRISTOBAL!D22+DAJABON!D22+'EL SEYBO'!D22+'ELIAS PIÑA'!D22+'LA VEGA'!D22+MAO!D22+'LA ROMANA'!D22+'MONTE PLATA'!D22+MANZANILLO!D22+MONTECRISTI!D22+NAGUA!D22+NAVARRETE!D22+OCOA!D22+NEYBA!D22+PEDERNALES!D22+PEKIN!D22+PLATANITOS!D22+QUISQUEYA!D22+'PUERTO PLATA'!D22+SAMANA!D22+'SAN CRISTOBAL'!D22+'SAN FCO'!D22+'SAN JUAN'!D22+'SAN PEDRO'!D22+'SANTIAGO RDGUEZ'!D22+'VILLA GONZALEZ'!D22+MOCA!D22+'VILLA LIBERACION'!D22+BONAO!D22+GALVAN!D22+BOHECHIO!D22+PARAISO!D22+'ARROYO CANO'!D22+'POSTRER RIO'!D22+'EL YAQUE'!D22+ENRIQUILLO!D22+'HATO MAYOR'!D22+'LOTERIA NAC.'!D22+UASD!D22+HIGUEY!D22</f>
        <v>28</v>
      </c>
      <c r="E22" s="264">
        <f>+'ADM 1'!E22+'ADM 2'!E22+'LA VILLA'!E22+'LOS ALCARRIZOS'!E22+'LOS MINA'!E22+'LAS CAOBAS'!E22+AZUA!E22+BARAHONA!E22+BAYAGUANA!E22+'BATEY 6'!E22+BOYA!E22+'BOCA CACHON'!E22+'CRISTO REY'!E33+CONSTANZA!E22+CRISTOBAL!E22+DAJABON!E22+'EL SEYBO'!E22+'ELIAS PIÑA'!E22+'LA VEGA'!E22+MAO!E22+'LA ROMANA'!E22+'MONTE PLATA'!E22+MANZANILLO!E22+MONTECRISTI!E22+NAGUA!E22+NAVARRETE!E22+OCOA!E22+NEYBA!E22+PEDERNALES!E22+PEKIN!E22+PLATANITOS!E22+QUISQUEYA!E22+'PUERTO PLATA'!E22+SAMANA!E22+'SAN CRISTOBAL'!E22+'SAN FCO'!E22+'SAN JUAN'!E22+'SAN PEDRO'!E22+'SANTIAGO RDGUEZ'!E22+'VILLA GONZALEZ'!E22+MOCA!E22+'VILLA LIBERACION'!E22+BONAO!E22+GALVAN!E22+BOHECHIO!E22+PARAISO!E22+'ARROYO CANO'!E22+'POSTRER RIO'!E22+'EL YAQUE'!E22+ENRIQUILLO!E22+'HATO MAYOR'!E22+'LOTERIA NAC.'!E22+UASD!E22+HIGUEY!E22</f>
        <v>0</v>
      </c>
      <c r="F22" s="318">
        <f t="shared" si="0"/>
        <v>28</v>
      </c>
      <c r="G22" s="266">
        <f>+'ADM 1'!Q22+'ADM 2'!L22+'LOS MINA'!M22+'LA VILLA'!J22+'LOS ALCARRIZOS'!J22+'LAS CAOBAS'!J22+AZUA!J22+BARAHONA!J22+BAYAGUANA!J22+'BATEY 6'!J22+BOYA!J22+'BOCA CACHON'!J22+'CRISTO REY'!J22+CONSTANZA!J22+CRISTOBAL!J22+DAJABON!J22+'EL SEYBO'!J22+'ELIAS PIÑA'!J22+'LA VEGA'!J22+MAO!J22+'LA ROMANA'!J22+'MONTE PLATA'!J22+MANZANILLO!J22+MONTECRISTI!J22+NAGUA!J22+NAVARRETE!J22+OCOA!J22+NEYBA!J22+PEDERNALES!J22+PEKIN!J22+PLATANITOS!J22+QUISQUEYA!J22+'PUERTO PLATA'!J22+SAMANA!J22+'SAN CRISTOBAL'!J22+'SAN FCO'!J22+'SAN JUAN'!J22+'SAN PEDRO'!J22+'SANTIAGO RDGUEZ'!J22+'VILLA GONZALEZ'!J22+MOCA!J22+'VILLA LIBERACION'!J22+BONAO!J22+GALVAN!J22+BOHECHIO!J22+PARAISO!J22+'ARROYO CANO'!J22+'POSTRER RIO'!J22+'EL YAQUE'!J22+ENRIQUILLO!J22+'HATO MAYOR'!J22+'LOTERIA NAC.'!J22+UASD!J22+HIGUEY!J22</f>
        <v>11409</v>
      </c>
      <c r="H22" s="270">
        <f>+'ADM 1'!R22+'ADM 2'!M22+'LOS MINA'!N22+'LA VILLA'!K22+'LOS ALCARRIZOS'!K22+'LAS CAOBAS'!K22+AZUA!K22+BARAHONA!K22+BAYAGUANA!K22+'BATEY 6'!K22+BOYA!K22+'BOCA CACHON'!K22+'CRISTO REY'!K22+CONSTANZA!K22+CRISTOBAL!K22+DAJABON!K22+'EL SEYBO'!K22+'ELIAS PIÑA'!K22+'LA VEGA'!K22+MAO!K22+'LA ROMANA'!K22+'MONTE PLATA'!K22+MANZANILLO!K22+MONTECRISTI!K22+NAGUA!K22+NAVARRETE!K22+OCOA!K22+NEYBA!K22+PEDERNALES!K22+PEKIN!K22+PLATANITOS!K22+QUISQUEYA!K22+'PUERTO PLATA'!K22+SAMANA!K22+'SAN CRISTOBAL'!K22+'SAN FCO'!K22+'SAN JUAN'!K22+'SAN PEDRO'!K22+'SANTIAGO RDGUEZ'!K22+'VILLA GONZALEZ'!K22+MOCA!K22+'VILLA LIBERACION'!K22+BONAO!K22+GALVAN!K22+BOHECHIO!K22+PARAISO!K22+'ARROYO CANO'!K22+'POSTRER RIO'!K22+'EL YAQUE'!K22+ENRIQUILLO!K22+'HATO MAYOR'!K22+'LOTERIA NAC.'!K22+UASD!K22+HIGUEY!K22</f>
        <v>2570</v>
      </c>
      <c r="I22" s="270">
        <f>+'ADM 1'!S22+'ADM 2'!N22+'LOS MINA'!O22+'LA VILLA'!L22+'LOS ALCARRIZOS'!L22+'LAS CAOBAS'!L22+AZUA!L22+BARAHONA!L22+BAYAGUANA!L22+'BATEY 6'!L22+BOYA!L22+'BOCA CACHON'!L22+'CRISTO REY'!L22+CONSTANZA!L22+CRISTOBAL!L22+DAJABON!L22+'EL SEYBO'!L22+'ELIAS PIÑA'!L22+'LA VEGA'!L22+MAO!L22+'LA ROMANA'!L22+'MONTE PLATA'!L22+MANZANILLO!L22+MONTECRISTI!L22+NAGUA!L22+NAVARRETE!L22+OCOA!L22+NEYBA!L22+PEDERNALES!L22+PEKIN!L22+PLATANITOS!L22+QUISQUEYA!L22+'PUERTO PLATA'!L22+SAMANA!L22+'SAN CRISTOBAL'!L22+'SAN FCO'!L22+'SAN JUAN'!L22+'SAN PEDRO'!L22+'SANTIAGO RDGUEZ'!L22+'VILLA GONZALEZ'!L22+MOCA!L22+'VILLA LIBERACION'!L22+BONAO!L22+GALVAN!L22+BOHECHIO!L22+PARAISO!L22+'ARROYO CANO'!L22+'POSTRER RIO'!L22+'EL YAQUE'!L22+ENRIQUILLO!L22+'HATO MAYOR'!L22+'LOTERIA NAC.'!L22+UASD!L22+HIGUEY!L22</f>
        <v>79016</v>
      </c>
      <c r="J22" s="270">
        <f>+'ADM 1'!T22+'ADM 2'!O22+'LOS MINA'!P22+'LA VILLA'!M22+'LOS ALCARRIZOS'!M22+'LAS CAOBAS'!M22+AZUA!M22+BARAHONA!M22+BAYAGUANA!M22+'BATEY 6'!M22+BOYA!M22+'BOCA CACHON'!M22+'CRISTO REY'!M22+CONSTANZA!M22+CRISTOBAL!M22+DAJABON!M22+'EL SEYBO'!M22+'ELIAS PIÑA'!M22+'LA VEGA'!M22+MAO!M22+'LA ROMANA'!M22+'MONTE PLATA'!M22+MANZANILLO!M22+MONTECRISTI!M22+NAGUA!M22+NAVARRETE!M22+OCOA!M22+NEYBA!M22+PEDERNALES!M22+PEKIN!M22+PLATANITOS!M22+QUISQUEYA!M22+'PUERTO PLATA'!M22+SAMANA!M22+'SAN CRISTOBAL'!M22+'SAN FCO'!M22+'SAN JUAN'!M22+'SAN PEDRO'!M22+'SANTIAGO RDGUEZ'!M22+'VILLA GONZALEZ'!M22+MOCA!M22+'VILLA LIBERACION'!M22+BONAO!M22+GALVAN!M22+BOHECHIO!M22+PARAISO!M22+'ARROYO CANO'!M22+'POSTRER RIO'!M22+'EL YAQUE'!M22+ENRIQUILLO!M22+'HATO MAYOR'!M22+'LOTERIA NAC.'!M22+UASD!M22+HIGUEY!M22</f>
        <v>2429</v>
      </c>
      <c r="K22" s="256">
        <f t="shared" si="1"/>
        <v>84015</v>
      </c>
      <c r="L22" s="269">
        <f>+'ADM 1'!V22+'ADM 2'!Q22+'LA VILLA'!O22+'LOS ALCARRIZOS'!O22+'LOS MINA'!R22+'LAS CAOBAS'!O22+AZUA!O22+BARAHONA!O22+BAYAGUANA!O22+'BATEY 6'!O22+BOYA!O22+'BOCA CACHON'!O22+'CRISTO REY'!O33+CONSTANZA!O22+CRISTOBAL!O22+DAJABON!O22+'EL SEYBO'!O22+'ELIAS PIÑA'!O22+'LA VEGA'!O22+MAO!O22+'LA ROMANA'!O22+'MONTE PLATA'!O22+MANZANILLO!O22+MONTECRISTI!O22+NAGUA!O22+NAVARRETE!O22+OCOA!O22+NEYBA!O22+PEDERNALES!O22+PEKIN!O22+PLATANITOS!O22+QUISQUEYA!O22+'PUERTO PLATA'!O22+SAMANA!O22+'SAN CRISTOBAL'!O22+'SAN FCO'!O22+'SAN JUAN'!O22+'SAN PEDRO'!O22+'SANTIAGO RDGUEZ'!O22+'VILLA GONZALEZ'!O22+MOCA!O22+'VILLA LIBERACION'!O22+BONAO!O22+GALVAN!O22+BOHECHIO!O23+PARAISO!O22+'ARROYO CANO'!O22+'POSTRER RIO'!O22+'EL YAQUE'!O22+ENRIQUILLO!O22+'HATO MAYOR'!O22+'LOTERIA NAC.'!O22+UASD!O22+HIGUEY!O22</f>
        <v>0</v>
      </c>
      <c r="M22" s="269">
        <f>+'ADM 1'!W22+'ADM 2'!R22+'LA VILLA'!P22+'LOS ALCARRIZOS'!P22+'LOS MINA'!S22+'LAS CAOBAS'!P22+AZUA!P22+BARAHONA!P22+BAYAGUANA!P22+'BATEY 6'!P22+BOYA!P22+'BOCA CACHON'!P22+'CRISTO REY'!P33+CONSTANZA!P22+CRISTOBAL!P22+DAJABON!P22+'EL SEYBO'!P22+'ELIAS PIÑA'!P22+'LA VEGA'!P22+MAO!P22+'LA ROMANA'!P22+'MONTE PLATA'!P22+MANZANILLO!P22+MONTECRISTI!P22+NAGUA!P22+NAVARRETE!P22+OCOA!P22+NEYBA!P22+PEDERNALES!P22+PEKIN!P22+PLATANITOS!P22+QUISQUEYA!P22+'PUERTO PLATA'!P22+SAMANA!P22+'SAN CRISTOBAL'!P22+'SAN FCO'!P22+'SAN JUAN'!P22+'SAN PEDRO'!P22+'SANTIAGO RDGUEZ'!P22+'VILLA GONZALEZ'!P22+MOCA!P22+'VILLA LIBERACION'!P22+BONAO!P22+GALVAN!P22+BOHECHIO!P23+PARAISO!P22+'ARROYO CANO'!P22+'POSTRER RIO'!P22+'EL YAQUE'!P22+ENRIQUILLO!P22+'HATO MAYOR'!P22+'LOTERIA NAC.'!P22+UASD!P22+HIGUEY!P22</f>
        <v>0</v>
      </c>
      <c r="N22" s="187">
        <f t="shared" si="2"/>
        <v>84015</v>
      </c>
      <c r="O22" s="183">
        <f t="shared" si="3"/>
        <v>95452</v>
      </c>
      <c r="S22" s="70"/>
      <c r="T22" s="3"/>
      <c r="U22" s="3"/>
      <c r="V22" s="70">
        <f t="shared" si="4"/>
        <v>0</v>
      </c>
    </row>
    <row r="23" spans="3:22" ht="15" customHeight="1" x14ac:dyDescent="0.3">
      <c r="C23" s="26">
        <v>8</v>
      </c>
      <c r="D23" s="264">
        <f>+'ADM 1'!D23+'ADM 2'!D23+'LA VILLA'!D23+'LOS ALCARRIZOS'!D23+'LOS MINA'!D23+'LAS CAOBAS'!D23+AZUA!D23+BARAHONA!D23+BAYAGUANA!D23+'BATEY 6'!D23+BOYA!D23+'BOCA CACHON'!D23+'CRISTO REY'!D34+CONSTANZA!D23+CRISTOBAL!D23+DAJABON!D23+'EL SEYBO'!D23+'ELIAS PIÑA'!D23+'LA VEGA'!D23+MAO!D23+'LA ROMANA'!D23+'MONTE PLATA'!D23+MANZANILLO!D23+MONTECRISTI!D23+NAGUA!D23+NAVARRETE!D23+OCOA!D23+NEYBA!D23+PEDERNALES!D23+PEKIN!D23+PLATANITOS!D23+QUISQUEYA!D23+'PUERTO PLATA'!D23+SAMANA!D23+'SAN CRISTOBAL'!D23+'SAN FCO'!D23+'SAN JUAN'!D23+'SAN PEDRO'!D23+'SANTIAGO RDGUEZ'!D23+'VILLA GONZALEZ'!D23+MOCA!D23+'VILLA LIBERACION'!D23+BONAO!D23+GALVAN!D23+BOHECHIO!D23+PARAISO!D23+'ARROYO CANO'!D23+'POSTRER RIO'!D23+'EL YAQUE'!D23+ENRIQUILLO!D23+'HATO MAYOR'!D23+'LOTERIA NAC.'!D23+UASD!D23+HIGUEY!D23</f>
        <v>31</v>
      </c>
      <c r="E23" s="264">
        <f>+'ADM 1'!E23+'ADM 2'!E23+'LA VILLA'!E23+'LOS ALCARRIZOS'!E23+'LOS MINA'!E23+'LAS CAOBAS'!E23+AZUA!E23+BARAHONA!E23+BAYAGUANA!E23+'BATEY 6'!E23+BOYA!E23+'BOCA CACHON'!E23+'CRISTO REY'!E34+CONSTANZA!E23+CRISTOBAL!E23+DAJABON!E23+'EL SEYBO'!E23+'ELIAS PIÑA'!E23+'LA VEGA'!E23+MAO!E23+'LA ROMANA'!E23+'MONTE PLATA'!E23+MANZANILLO!E23+MONTECRISTI!E23+NAGUA!E23+NAVARRETE!E23+OCOA!E23+NEYBA!E23+PEDERNALES!E23+PEKIN!E23+PLATANITOS!E23+QUISQUEYA!E23+'PUERTO PLATA'!E23+SAMANA!E23+'SAN CRISTOBAL'!E23+'SAN FCO'!E23+'SAN JUAN'!E23+'SAN PEDRO'!E23+'SANTIAGO RDGUEZ'!E23+'VILLA GONZALEZ'!E23+MOCA!E23+'VILLA LIBERACION'!E23+BONAO!E23+GALVAN!E23+BOHECHIO!E23+PARAISO!E23+'ARROYO CANO'!E23+'POSTRER RIO'!E23+'EL YAQUE'!E23+ENRIQUILLO!E23+'HATO MAYOR'!E23+'LOTERIA NAC.'!E23+UASD!E23+HIGUEY!E23</f>
        <v>0</v>
      </c>
      <c r="F23" s="318">
        <f t="shared" si="0"/>
        <v>31</v>
      </c>
      <c r="G23" s="266">
        <f>+'ADM 1'!Q23+'ADM 2'!L23+'LOS MINA'!M23+'LA VILLA'!J23+'LOS ALCARRIZOS'!J23+'LAS CAOBAS'!J23+AZUA!J23+BARAHONA!J23+BAYAGUANA!J23+'BATEY 6'!J23+BOYA!J23+'BOCA CACHON'!J23+'CRISTO REY'!J23+CONSTANZA!J23+CRISTOBAL!J23+DAJABON!J23+'EL SEYBO'!J23+'ELIAS PIÑA'!J23+'LA VEGA'!J23+MAO!J23+'LA ROMANA'!J23+'MONTE PLATA'!J23+MANZANILLO!J23+MONTECRISTI!J23+NAGUA!J23+NAVARRETE!J23+OCOA!J23+NEYBA!J23+PEDERNALES!J23+PEKIN!J23+PLATANITOS!J23+QUISQUEYA!J23+'PUERTO PLATA'!J23+SAMANA!J23+'SAN CRISTOBAL'!J23+'SAN FCO'!J23+'SAN JUAN'!J23+'SAN PEDRO'!J23+'SANTIAGO RDGUEZ'!J23+'VILLA GONZALEZ'!J23+MOCA!J23+'VILLA LIBERACION'!J23+BONAO!J23+GALVAN!J23+BOHECHIO!J23+PARAISO!J23+'ARROYO CANO'!J23+'POSTRER RIO'!J23+'EL YAQUE'!J23+ENRIQUILLO!J23+'HATO MAYOR'!J23+'LOTERIA NAC.'!J23+UASD!J23+HIGUEY!J23</f>
        <v>11067</v>
      </c>
      <c r="H23" s="270">
        <f>+'ADM 1'!R23+'ADM 2'!M23+'LOS MINA'!N23+'LA VILLA'!K23+'LOS ALCARRIZOS'!K23+'LAS CAOBAS'!K23+AZUA!K23+BARAHONA!K23+BAYAGUANA!K23+'BATEY 6'!K23+BOYA!K23+'BOCA CACHON'!K23+'CRISTO REY'!K23+CONSTANZA!K23+CRISTOBAL!K23+DAJABON!K23+'EL SEYBO'!K23+'ELIAS PIÑA'!K23+'LA VEGA'!K23+MAO!K23+'LA ROMANA'!K23+'MONTE PLATA'!K23+MANZANILLO!K23+MONTECRISTI!K23+NAGUA!K23+NAVARRETE!K23+OCOA!K23+NEYBA!K23+PEDERNALES!K23+PEKIN!K23+PLATANITOS!K23+QUISQUEYA!K23+'PUERTO PLATA'!K23+SAMANA!K23+'SAN CRISTOBAL'!K23+'SAN FCO'!K23+'SAN JUAN'!K23+'SAN PEDRO'!K23+'SANTIAGO RDGUEZ'!K23+'VILLA GONZALEZ'!K23+MOCA!K23+'VILLA LIBERACION'!K23+BONAO!K23+GALVAN!K23+BOHECHIO!K23+PARAISO!K23+'ARROYO CANO'!K23+'POSTRER RIO'!K23+'EL YAQUE'!K23+ENRIQUILLO!K23+'HATO MAYOR'!K23+'LOTERIA NAC.'!K23+UASD!K23+HIGUEY!K23</f>
        <v>2428</v>
      </c>
      <c r="I23" s="270">
        <f>+'ADM 1'!S23+'ADM 2'!N23+'LOS MINA'!O23+'LA VILLA'!L23+'LOS ALCARRIZOS'!L23+'LAS CAOBAS'!L23+AZUA!L23+BARAHONA!L23+BAYAGUANA!L23+'BATEY 6'!L23+BOYA!L23+'BOCA CACHON'!L23+'CRISTO REY'!L23+CONSTANZA!L23+CRISTOBAL!L23+DAJABON!L23+'EL SEYBO'!L23+'ELIAS PIÑA'!L23+'LA VEGA'!L23+MAO!L23+'LA ROMANA'!L23+'MONTE PLATA'!L23+MANZANILLO!L23+MONTECRISTI!L23+NAGUA!L23+NAVARRETE!L23+OCOA!L23+NEYBA!L23+PEDERNALES!L23+PEKIN!L23+PLATANITOS!L23+QUISQUEYA!L23+'PUERTO PLATA'!L23+SAMANA!L23+'SAN CRISTOBAL'!L23+'SAN FCO'!L23+'SAN JUAN'!L23+'SAN PEDRO'!L23+'SANTIAGO RDGUEZ'!L23+'VILLA GONZALEZ'!L23+MOCA!L23+'VILLA LIBERACION'!L23+BONAO!L23+GALVAN!L23+BOHECHIO!L23+PARAISO!L23+'ARROYO CANO'!L23+'POSTRER RIO'!L23+'EL YAQUE'!L23+ENRIQUILLO!L23+'HATO MAYOR'!L23+'LOTERIA NAC.'!L23+UASD!L23+HIGUEY!L23</f>
        <v>77978</v>
      </c>
      <c r="J23" s="270">
        <f>+'ADM 1'!T23+'ADM 2'!O23+'LOS MINA'!P23+'LA VILLA'!M23+'LOS ALCARRIZOS'!M23+'LAS CAOBAS'!M23+AZUA!M23+BARAHONA!M23+BAYAGUANA!M23+'BATEY 6'!M23+BOYA!M23+'BOCA CACHON'!M23+'CRISTO REY'!M23+CONSTANZA!M23+CRISTOBAL!M23+DAJABON!M23+'EL SEYBO'!M23+'ELIAS PIÑA'!M23+'LA VEGA'!M23+MAO!M23+'LA ROMANA'!M23+'MONTE PLATA'!M23+MANZANILLO!M23+MONTECRISTI!M23+NAGUA!M23+NAVARRETE!M23+OCOA!M23+NEYBA!M23+PEDERNALES!M23+PEKIN!M23+PLATANITOS!M23+QUISQUEYA!M23+'PUERTO PLATA'!M23+SAMANA!M23+'SAN CRISTOBAL'!M23+'SAN FCO'!M23+'SAN JUAN'!M23+'SAN PEDRO'!M23+'SANTIAGO RDGUEZ'!M23+'VILLA GONZALEZ'!M23+MOCA!M23+'VILLA LIBERACION'!M23+BONAO!M23+GALVAN!M23+BOHECHIO!M23+PARAISO!M23+'ARROYO CANO'!M23+'POSTRER RIO'!M23+'EL YAQUE'!M23+ENRIQUILLO!M23+'HATO MAYOR'!M23+'LOTERIA NAC.'!M23+UASD!M23+HIGUEY!M23</f>
        <v>2591</v>
      </c>
      <c r="K23" s="256">
        <f t="shared" si="1"/>
        <v>82997</v>
      </c>
      <c r="L23" s="269">
        <f>+'ADM 1'!V23+'ADM 2'!Q23+'LA VILLA'!O23+'LOS ALCARRIZOS'!O23+'LOS MINA'!R23+'LAS CAOBAS'!O23+AZUA!O23+BARAHONA!O23+BAYAGUANA!O23+'BATEY 6'!O23+BOYA!O23+'BOCA CACHON'!O23+'CRISTO REY'!O34+CONSTANZA!O23+CRISTOBAL!O23+DAJABON!O23+'EL SEYBO'!O23+'ELIAS PIÑA'!O23+'LA VEGA'!O23+MAO!O23+'LA ROMANA'!O23+'MONTE PLATA'!O23+MANZANILLO!O23+MONTECRISTI!O23+NAGUA!O23+NAVARRETE!O23+OCOA!O23+NEYBA!O23+PEDERNALES!O23+PEKIN!O23+PLATANITOS!O23+QUISQUEYA!O23+'PUERTO PLATA'!O23+SAMANA!O23+'SAN CRISTOBAL'!O23+'SAN FCO'!O23+'SAN JUAN'!O23+'SAN PEDRO'!O23+'SANTIAGO RDGUEZ'!O23+'VILLA GONZALEZ'!O23+MOCA!O23+'VILLA LIBERACION'!O23+BONAO!O23+GALVAN!O23+BOHECHIO!O24+PARAISO!O23+'ARROYO CANO'!O23+'POSTRER RIO'!O23+'EL YAQUE'!O23+ENRIQUILLO!O23+'HATO MAYOR'!O23+'LOTERIA NAC.'!O23+UASD!O23+HIGUEY!O23</f>
        <v>0</v>
      </c>
      <c r="M23" s="269">
        <f>+'ADM 1'!W23+'ADM 2'!R23+'LA VILLA'!P23+'LOS ALCARRIZOS'!P23+'LOS MINA'!S23+'LAS CAOBAS'!P23+AZUA!P23+BARAHONA!P23+BAYAGUANA!P23+'BATEY 6'!P23+BOYA!P23+'BOCA CACHON'!P23+'CRISTO REY'!P34+CONSTANZA!P23+CRISTOBAL!P23+DAJABON!P23+'EL SEYBO'!P23+'ELIAS PIÑA'!P23+'LA VEGA'!P23+MAO!P23+'LA ROMANA'!P23+'MONTE PLATA'!P23+MANZANILLO!P23+MONTECRISTI!P23+NAGUA!P23+NAVARRETE!P23+OCOA!P23+NEYBA!P23+PEDERNALES!P23+PEKIN!P23+PLATANITOS!P23+QUISQUEYA!P23+'PUERTO PLATA'!P23+SAMANA!P23+'SAN CRISTOBAL'!P23+'SAN FCO'!P23+'SAN JUAN'!P23+'SAN PEDRO'!P23+'SANTIAGO RDGUEZ'!P23+'VILLA GONZALEZ'!P23+MOCA!P23+'VILLA LIBERACION'!P23+BONAO!P23+GALVAN!P23+BOHECHIO!P24+PARAISO!P23+'ARROYO CANO'!P23+'POSTRER RIO'!P23+'EL YAQUE'!P23+ENRIQUILLO!P23+'HATO MAYOR'!P23+'LOTERIA NAC.'!P23+UASD!P23+HIGUEY!P23</f>
        <v>0</v>
      </c>
      <c r="N23" s="187">
        <f t="shared" si="2"/>
        <v>82997</v>
      </c>
      <c r="O23" s="183">
        <f t="shared" si="3"/>
        <v>94095</v>
      </c>
      <c r="S23" s="70"/>
      <c r="T23" s="3"/>
      <c r="U23" s="3"/>
      <c r="V23" s="70">
        <f t="shared" si="4"/>
        <v>0</v>
      </c>
    </row>
    <row r="24" spans="3:22" ht="15" customHeight="1" x14ac:dyDescent="0.3">
      <c r="C24" s="26">
        <v>9</v>
      </c>
      <c r="D24" s="264">
        <f>+'ADM 1'!D24+'ADM 2'!D24+'LA VILLA'!D24+'LOS ALCARRIZOS'!D24+'LOS MINA'!D24+'LAS CAOBAS'!D24+AZUA!D24+BARAHONA!D24+BAYAGUANA!D24+'BATEY 6'!D24+BOYA!D24+'BOCA CACHON'!D24+'CRISTO REY'!D35+CONSTANZA!D24+CRISTOBAL!D24+DAJABON!D24+'EL SEYBO'!D24+'ELIAS PIÑA'!D24+'LA VEGA'!D24+MAO!D24+'LA ROMANA'!D24+'MONTE PLATA'!D24+MANZANILLO!D24+MONTECRISTI!D24+NAGUA!D24+NAVARRETE!D24+OCOA!D24+NEYBA!D24+PEDERNALES!D24+PEKIN!D24+PLATANITOS!D24+QUISQUEYA!D24+'PUERTO PLATA'!D24+SAMANA!D24+'SAN CRISTOBAL'!D24+'SAN FCO'!D24+'SAN JUAN'!D24+'SAN PEDRO'!D24+'SANTIAGO RDGUEZ'!D24+'VILLA GONZALEZ'!D24+MOCA!D24+'VILLA LIBERACION'!D24+BONAO!D24+GALVAN!D24+BOHECHIO!D24+PARAISO!D24+'ARROYO CANO'!D24+'POSTRER RIO'!D24+'EL YAQUE'!D24+ENRIQUILLO!D24+'HATO MAYOR'!D24+'LOTERIA NAC.'!D24+UASD!D24+HIGUEY!D24</f>
        <v>21</v>
      </c>
      <c r="E24" s="264">
        <f>+'ADM 1'!E24+'ADM 2'!E24+'LA VILLA'!E24+'LOS ALCARRIZOS'!E24+'LOS MINA'!E24+'LAS CAOBAS'!E24+AZUA!E24+BARAHONA!E24+BAYAGUANA!E24+'BATEY 6'!E24+BOYA!E24+'BOCA CACHON'!E24+'CRISTO REY'!E35+CONSTANZA!E24+CRISTOBAL!E24+DAJABON!E24+'EL SEYBO'!E24+'ELIAS PIÑA'!E24+'LA VEGA'!E24+MAO!E24+'LA ROMANA'!E24+'MONTE PLATA'!E24+MANZANILLO!E24+MONTECRISTI!E24+NAGUA!E24+NAVARRETE!E24+OCOA!E24+NEYBA!E24+PEDERNALES!E24+PEKIN!E24+PLATANITOS!E24+QUISQUEYA!E24+'PUERTO PLATA'!E24+SAMANA!E24+'SAN CRISTOBAL'!E24+'SAN FCO'!E24+'SAN JUAN'!E24+'SAN PEDRO'!E24+'SANTIAGO RDGUEZ'!E24+'VILLA GONZALEZ'!E24+MOCA!E24+'VILLA LIBERACION'!E24+BONAO!E24+GALVAN!E24+BOHECHIO!E24+PARAISO!E24+'ARROYO CANO'!E24+'POSTRER RIO'!E24+'EL YAQUE'!E24+ENRIQUILLO!E24+'HATO MAYOR'!E24+'LOTERIA NAC.'!E24+UASD!E24+HIGUEY!E24</f>
        <v>0</v>
      </c>
      <c r="F24" s="318">
        <f t="shared" si="0"/>
        <v>21</v>
      </c>
      <c r="G24" s="266">
        <f>+'ADM 1'!Q24+'ADM 2'!L24+'LOS MINA'!M24+'LA VILLA'!J24+'LOS ALCARRIZOS'!J24+'LAS CAOBAS'!J24+AZUA!J24+BARAHONA!J24+BAYAGUANA!J24+'BATEY 6'!J24+BOYA!J24+'BOCA CACHON'!J24+'CRISTO REY'!J24+CONSTANZA!J24+CRISTOBAL!J24+DAJABON!J24+'EL SEYBO'!J24+'ELIAS PIÑA'!J24+'LA VEGA'!J24+MAO!J24+'LA ROMANA'!J24+'MONTE PLATA'!J24+MANZANILLO!J24+MONTECRISTI!J24+NAGUA!J24+NAVARRETE!J24+OCOA!J24+NEYBA!J24+PEDERNALES!J24+PEKIN!J24+PLATANITOS!J24+QUISQUEYA!J24+'PUERTO PLATA'!J24+SAMANA!J24+'SAN CRISTOBAL'!J24+'SAN FCO'!J24+'SAN JUAN'!J24+'SAN PEDRO'!J24+'SANTIAGO RDGUEZ'!J24+'VILLA GONZALEZ'!J24+MOCA!J24+'VILLA LIBERACION'!J24+BONAO!J24+GALVAN!J24+BOHECHIO!J24+PARAISO!J24+'ARROYO CANO'!J24+'POSTRER RIO'!J24+'EL YAQUE'!J24+ENRIQUILLO!J24+'HATO MAYOR'!J24+'LOTERIA NAC.'!J24+UASD!J24+HIGUEY!J24</f>
        <v>11447</v>
      </c>
      <c r="H24" s="270">
        <f>+'ADM 1'!R24+'ADM 2'!M24+'LOS MINA'!N24+'LA VILLA'!K24+'LOS ALCARRIZOS'!K24+'LAS CAOBAS'!K24+AZUA!K24+BARAHONA!K24+BAYAGUANA!K24+'BATEY 6'!K24+BOYA!K24+'BOCA CACHON'!K24+'CRISTO REY'!K24+CONSTANZA!K24+CRISTOBAL!K24+DAJABON!K24+'EL SEYBO'!K24+'ELIAS PIÑA'!K24+'LA VEGA'!K24+MAO!K24+'LA ROMANA'!K24+'MONTE PLATA'!K24+MANZANILLO!K24+MONTECRISTI!K24+NAGUA!K24+NAVARRETE!K24+OCOA!K24+NEYBA!K24+PEDERNALES!K24+PEKIN!K24+PLATANITOS!K24+QUISQUEYA!K24+'PUERTO PLATA'!K24+SAMANA!K24+'SAN CRISTOBAL'!K24+'SAN FCO'!K24+'SAN JUAN'!K24+'SAN PEDRO'!K24+'SANTIAGO RDGUEZ'!K24+'VILLA GONZALEZ'!K24+MOCA!K24+'VILLA LIBERACION'!K24+BONAO!K24+GALVAN!K24+BOHECHIO!K24+PARAISO!K24+'ARROYO CANO'!K24+'POSTRER RIO'!K24+'EL YAQUE'!K24+ENRIQUILLO!K24+'HATO MAYOR'!K24+'LOTERIA NAC.'!K24+UASD!K24+HIGUEY!K24</f>
        <v>2452</v>
      </c>
      <c r="I24" s="270">
        <f>+'ADM 1'!S24+'ADM 2'!N24+'LOS MINA'!O24+'LA VILLA'!L24+'LOS ALCARRIZOS'!L24+'LAS CAOBAS'!L24+AZUA!L24+BARAHONA!L24+BAYAGUANA!L24+'BATEY 6'!L24+BOYA!L24+'BOCA CACHON'!L24+'CRISTO REY'!L24+CONSTANZA!L24+CRISTOBAL!L24+DAJABON!L24+'EL SEYBO'!L24+'ELIAS PIÑA'!L24+'LA VEGA'!L24+MAO!L24+'LA ROMANA'!L24+'MONTE PLATA'!L24+MANZANILLO!L24+MONTECRISTI!L24+NAGUA!L24+NAVARRETE!L24+OCOA!L24+NEYBA!L24+PEDERNALES!L24+PEKIN!L24+PLATANITOS!L24+QUISQUEYA!L24+'PUERTO PLATA'!L24+SAMANA!L24+'SAN CRISTOBAL'!L24+'SAN FCO'!L24+'SAN JUAN'!L24+'SAN PEDRO'!L24+'SANTIAGO RDGUEZ'!L24+'VILLA GONZALEZ'!L24+MOCA!L24+'VILLA LIBERACION'!L24+BONAO!L24+GALVAN!L24+BOHECHIO!L24+PARAISO!L24+'ARROYO CANO'!L24+'POSTRER RIO'!L24+'EL YAQUE'!L24+ENRIQUILLO!L24+'HATO MAYOR'!L24+'LOTERIA NAC.'!L24+UASD!L24+HIGUEY!L24</f>
        <v>81533</v>
      </c>
      <c r="J24" s="270">
        <f>+'ADM 1'!T24+'ADM 2'!O24+'LOS MINA'!P24+'LA VILLA'!M24+'LOS ALCARRIZOS'!M24+'LAS CAOBAS'!M24+AZUA!M24+BARAHONA!M24+BAYAGUANA!M24+'BATEY 6'!M24+BOYA!M24+'BOCA CACHON'!M24+'CRISTO REY'!M24+CONSTANZA!M24+CRISTOBAL!M24+DAJABON!M24+'EL SEYBO'!M24+'ELIAS PIÑA'!M24+'LA VEGA'!M24+MAO!M24+'LA ROMANA'!M24+'MONTE PLATA'!M24+MANZANILLO!M24+MONTECRISTI!M24+NAGUA!M24+NAVARRETE!M24+OCOA!M24+NEYBA!M24+PEDERNALES!M24+PEKIN!M24+PLATANITOS!M24+QUISQUEYA!M24+'PUERTO PLATA'!M24+SAMANA!M24+'SAN CRISTOBAL'!M24+'SAN FCO'!M24+'SAN JUAN'!M24+'SAN PEDRO'!M24+'SANTIAGO RDGUEZ'!M24+'VILLA GONZALEZ'!M24+MOCA!M24+'VILLA LIBERACION'!M24+BONAO!M24+GALVAN!M24+BOHECHIO!M24+PARAISO!M24+'ARROYO CANO'!M24+'POSTRER RIO'!M24+'EL YAQUE'!M24+ENRIQUILLO!M24+'HATO MAYOR'!M24+'LOTERIA NAC.'!M24+UASD!M24+HIGUEY!M24</f>
        <v>2085</v>
      </c>
      <c r="K24" s="256">
        <f t="shared" si="1"/>
        <v>86070</v>
      </c>
      <c r="L24" s="269">
        <f>+'ADM 1'!V24+'ADM 2'!Q24+'LA VILLA'!O24+'LOS ALCARRIZOS'!O24+'LOS MINA'!R24+'LAS CAOBAS'!O24+AZUA!O24+BARAHONA!O24+BAYAGUANA!O24+'BATEY 6'!O24+BOYA!O24+'BOCA CACHON'!O24+'CRISTO REY'!O35+CONSTANZA!O24+CRISTOBAL!O24+DAJABON!O24+'EL SEYBO'!O24+'ELIAS PIÑA'!O24+'LA VEGA'!O24+MAO!O24+'LA ROMANA'!O24+'MONTE PLATA'!O24+MANZANILLO!O24+MONTECRISTI!O24+NAGUA!O24+NAVARRETE!O24+OCOA!O24+NEYBA!O24+PEDERNALES!O24+PEKIN!O24+PLATANITOS!O24+QUISQUEYA!O24+'PUERTO PLATA'!O24+SAMANA!O24+'SAN CRISTOBAL'!O24+'SAN FCO'!O24+'SAN JUAN'!O24+'SAN PEDRO'!O24+'SANTIAGO RDGUEZ'!O24+'VILLA GONZALEZ'!O24+MOCA!O24+'VILLA LIBERACION'!O24+BONAO!O24+GALVAN!O24+BOHECHIO!O25+PARAISO!O24+'ARROYO CANO'!O24+'POSTRER RIO'!O24+'EL YAQUE'!O24+ENRIQUILLO!O24+'HATO MAYOR'!O24+'LOTERIA NAC.'!O24+UASD!O24+HIGUEY!O24</f>
        <v>0</v>
      </c>
      <c r="M24" s="269">
        <f>+'ADM 1'!W24+'ADM 2'!R24+'LA VILLA'!P24+'LOS ALCARRIZOS'!P24+'LOS MINA'!S24+'LAS CAOBAS'!P24+AZUA!P24+BARAHONA!P24+BAYAGUANA!P24+'BATEY 6'!P24+BOYA!P24+'BOCA CACHON'!P24+'CRISTO REY'!P35+CONSTANZA!P24+CRISTOBAL!P24+DAJABON!P24+'EL SEYBO'!P24+'ELIAS PIÑA'!P24+'LA VEGA'!P24+MAO!P24+'LA ROMANA'!P24+'MONTE PLATA'!P24+MANZANILLO!P24+MONTECRISTI!P24+NAGUA!P24+NAVARRETE!P24+OCOA!P24+NEYBA!P24+PEDERNALES!P24+PEKIN!P24+PLATANITOS!P24+QUISQUEYA!P24+'PUERTO PLATA'!P24+SAMANA!P24+'SAN CRISTOBAL'!P24+'SAN FCO'!P24+'SAN JUAN'!P24+'SAN PEDRO'!P24+'SANTIAGO RDGUEZ'!P24+'VILLA GONZALEZ'!P24+MOCA!P24+'VILLA LIBERACION'!P24+BONAO!P24+GALVAN!P24+BOHECHIO!P25+PARAISO!P24+'ARROYO CANO'!P24+'POSTRER RIO'!P24+'EL YAQUE'!P24+ENRIQUILLO!P24+'HATO MAYOR'!P24+'LOTERIA NAC.'!P24+UASD!P24+HIGUEY!P24</f>
        <v>0</v>
      </c>
      <c r="N24" s="187">
        <f t="shared" si="2"/>
        <v>86070</v>
      </c>
      <c r="O24" s="183">
        <f t="shared" si="3"/>
        <v>97538</v>
      </c>
      <c r="S24" s="70"/>
      <c r="T24" s="3"/>
      <c r="U24" s="3"/>
      <c r="V24" s="70">
        <f t="shared" si="4"/>
        <v>0</v>
      </c>
    </row>
    <row r="25" spans="3:22" ht="15" customHeight="1" x14ac:dyDescent="0.3">
      <c r="C25" s="26">
        <v>10</v>
      </c>
      <c r="D25" s="264">
        <f>+'ADM 1'!D25+'ADM 2'!D25+'LA VILLA'!D25+'LOS ALCARRIZOS'!D25+'LOS MINA'!D25+'LAS CAOBAS'!D25+AZUA!D25+BARAHONA!D25+BAYAGUANA!D25+'BATEY 6'!D25+BOYA!D25+'BOCA CACHON'!D25+'CRISTO REY'!D36+CONSTANZA!D25+CRISTOBAL!D25+DAJABON!D25+'EL SEYBO'!D25+'ELIAS PIÑA'!D25+'LA VEGA'!D25+MAO!D25+'LA ROMANA'!D25+'MONTE PLATA'!D25+MANZANILLO!D25+MONTECRISTI!D25+NAGUA!D25+NAVARRETE!D25+OCOA!D25+NEYBA!D25+PEDERNALES!D25+PEKIN!D25+PLATANITOS!D25+QUISQUEYA!D25+'PUERTO PLATA'!D25+SAMANA!D25+'SAN CRISTOBAL'!D25+'SAN FCO'!D25+'SAN JUAN'!D25+'SAN PEDRO'!D25+'SANTIAGO RDGUEZ'!D25+'VILLA GONZALEZ'!D25+MOCA!D25+'VILLA LIBERACION'!D25+BONAO!D25+GALVAN!D25+BOHECHIO!D25+PARAISO!D25+'ARROYO CANO'!D25+'POSTRER RIO'!D25+'EL YAQUE'!D25+ENRIQUILLO!D25+'HATO MAYOR'!D25+'LOTERIA NAC.'!D25+UASD!D25+HIGUEY!D25</f>
        <v>0</v>
      </c>
      <c r="E25" s="264">
        <f>+'ADM 1'!E25+'ADM 2'!E25+'LA VILLA'!E25+'LOS ALCARRIZOS'!E25+'LOS MINA'!E25+'LAS CAOBAS'!E25+AZUA!E25+BARAHONA!E25+BAYAGUANA!E25+'BATEY 6'!E25+BOYA!E25+'BOCA CACHON'!E25+'CRISTO REY'!E36+CONSTANZA!E25+CRISTOBAL!E25+DAJABON!E25+'EL SEYBO'!E25+'ELIAS PIÑA'!E25+'LA VEGA'!E25+MAO!E25+'LA ROMANA'!E25+'MONTE PLATA'!E25+MANZANILLO!E25+MONTECRISTI!E25+NAGUA!E25+NAVARRETE!E25+OCOA!E25+NEYBA!E25+PEDERNALES!E25+PEKIN!E25+PLATANITOS!E25+QUISQUEYA!E25+'PUERTO PLATA'!E25+SAMANA!E25+'SAN CRISTOBAL'!E25+'SAN FCO'!E25+'SAN JUAN'!E25+'SAN PEDRO'!E25+'SANTIAGO RDGUEZ'!E25+'VILLA GONZALEZ'!E25+MOCA!E25+'VILLA LIBERACION'!E25+BONAO!E25+GALVAN!E25+BOHECHIO!E25+PARAISO!E25+'ARROYO CANO'!E25+'POSTRER RIO'!E25+'EL YAQUE'!E25+ENRIQUILLO!E25+'HATO MAYOR'!E25+'LOTERIA NAC.'!E25+UASD!E25+HIGUEY!E25</f>
        <v>0</v>
      </c>
      <c r="F25" s="318">
        <f t="shared" si="0"/>
        <v>0</v>
      </c>
      <c r="G25" s="266">
        <f>+'ADM 1'!Q25+'ADM 2'!L25+'LOS MINA'!M25+'LA VILLA'!J25+'LOS ALCARRIZOS'!J25+'LAS CAOBAS'!J25+AZUA!J25+BARAHONA!J25+BAYAGUANA!J25+'BATEY 6'!J25+BOYA!J25+'BOCA CACHON'!J25+'CRISTO REY'!J25+CONSTANZA!J25+CRISTOBAL!J25+DAJABON!J25+'EL SEYBO'!J25+'ELIAS PIÑA'!J25+'LA VEGA'!J25+MAO!J25+'LA ROMANA'!J25+'MONTE PLATA'!J25+MANZANILLO!J25+MONTECRISTI!J25+NAGUA!J25+NAVARRETE!J25+OCOA!J25+NEYBA!J25+PEDERNALES!J25+PEKIN!J25+PLATANITOS!J25+QUISQUEYA!J25+'PUERTO PLATA'!J25+SAMANA!J25+'SAN CRISTOBAL'!J25+'SAN FCO'!J25+'SAN JUAN'!J25+'SAN PEDRO'!J25+'SANTIAGO RDGUEZ'!J25+'VILLA GONZALEZ'!J25+MOCA!J25+'VILLA LIBERACION'!J25+BONAO!J25+GALVAN!J25+BOHECHIO!J25+PARAISO!J25+'ARROYO CANO'!J25+'POSTRER RIO'!J25+'EL YAQUE'!J25+ENRIQUILLO!J25+'HATO MAYOR'!J25+'LOTERIA NAC.'!J25+UASD!J25+HIGUEY!J25</f>
        <v>8850</v>
      </c>
      <c r="H25" s="270">
        <f>+'ADM 1'!R25+'ADM 2'!M25+'LOS MINA'!N25+'LA VILLA'!K25+'LOS ALCARRIZOS'!K25+'LAS CAOBAS'!K25+AZUA!K25+BARAHONA!K25+BAYAGUANA!K25+'BATEY 6'!K25+BOYA!K25+'BOCA CACHON'!K25+'CRISTO REY'!K25+CONSTANZA!K25+CRISTOBAL!K25+DAJABON!K25+'EL SEYBO'!K25+'ELIAS PIÑA'!K25+'LA VEGA'!K25+MAO!K25+'LA ROMANA'!K25+'MONTE PLATA'!K25+MANZANILLO!K25+MONTECRISTI!K25+NAGUA!K25+NAVARRETE!K25+OCOA!K25+NEYBA!K25+PEDERNALES!K25+PEKIN!K25+PLATANITOS!K25+QUISQUEYA!K25+'PUERTO PLATA'!K25+SAMANA!K25+'SAN CRISTOBAL'!K25+'SAN FCO'!K25+'SAN JUAN'!K25+'SAN PEDRO'!K25+'SANTIAGO RDGUEZ'!K25+'VILLA GONZALEZ'!K25+MOCA!K25+'VILLA LIBERACION'!K25+BONAO!K25+GALVAN!K25+BOHECHIO!K25+PARAISO!K25+'ARROYO CANO'!K25+'POSTRER RIO'!K25+'EL YAQUE'!K25+ENRIQUILLO!K25+'HATO MAYOR'!K25+'LOTERIA NAC.'!K25+UASD!K25+HIGUEY!K25</f>
        <v>471</v>
      </c>
      <c r="I25" s="270">
        <f>+'ADM 1'!S25+'ADM 2'!N25+'LOS MINA'!O25+'LA VILLA'!L25+'LOS ALCARRIZOS'!L25+'LAS CAOBAS'!L25+AZUA!L25+BARAHONA!L25+BAYAGUANA!L25+'BATEY 6'!L25+BOYA!L25+'BOCA CACHON'!L25+'CRISTO REY'!L25+CONSTANZA!L25+CRISTOBAL!L25+DAJABON!L25+'EL SEYBO'!L25+'ELIAS PIÑA'!L25+'LA VEGA'!L25+MAO!L25+'LA ROMANA'!L25+'MONTE PLATA'!L25+MANZANILLO!L25+MONTECRISTI!L25+NAGUA!L25+NAVARRETE!L25+OCOA!L25+NEYBA!L25+PEDERNALES!L25+PEKIN!L25+PLATANITOS!L25+QUISQUEYA!L25+'PUERTO PLATA'!L25+SAMANA!L25+'SAN CRISTOBAL'!L25+'SAN FCO'!L25+'SAN JUAN'!L25+'SAN PEDRO'!L25+'SANTIAGO RDGUEZ'!L25+'VILLA GONZALEZ'!L25+MOCA!L25+'VILLA LIBERACION'!L25+BONAO!L25+GALVAN!L25+BOHECHIO!L25+PARAISO!L25+'ARROYO CANO'!L25+'POSTRER RIO'!L25+'EL YAQUE'!L25+ENRIQUILLO!L25+'HATO MAYOR'!L25+'LOTERIA NAC.'!L25+UASD!L25+HIGUEY!L25</f>
        <v>13263</v>
      </c>
      <c r="J25" s="270">
        <f>+'ADM 1'!T25+'ADM 2'!O25+'LOS MINA'!P25+'LA VILLA'!M25+'LOS ALCARRIZOS'!M25+'LAS CAOBAS'!M25+AZUA!M25+BARAHONA!M25+BAYAGUANA!M25+'BATEY 6'!M25+BOYA!M25+'BOCA CACHON'!M25+'CRISTO REY'!M25+CONSTANZA!M25+CRISTOBAL!M25+DAJABON!M25+'EL SEYBO'!M25+'ELIAS PIÑA'!M25+'LA VEGA'!M25+MAO!M25+'LA ROMANA'!M25+'MONTE PLATA'!M25+MANZANILLO!M25+MONTECRISTI!M25+NAGUA!M25+NAVARRETE!M25+OCOA!M25+NEYBA!M25+PEDERNALES!M25+PEKIN!M25+PLATANITOS!M25+QUISQUEYA!M25+'PUERTO PLATA'!M25+SAMANA!M25+'SAN CRISTOBAL'!M25+'SAN FCO'!M25+'SAN JUAN'!M25+'SAN PEDRO'!M25+'SANTIAGO RDGUEZ'!M25+'VILLA GONZALEZ'!M25+MOCA!M25+'VILLA LIBERACION'!M25+BONAO!M25+GALVAN!M25+BOHECHIO!M25+PARAISO!M25+'ARROYO CANO'!M25+'POSTRER RIO'!M25+'EL YAQUE'!M25+ENRIQUILLO!M25+'HATO MAYOR'!M25+'LOTERIA NAC.'!M25+UASD!M25+HIGUEY!M25</f>
        <v>0</v>
      </c>
      <c r="K25" s="256">
        <f t="shared" si="1"/>
        <v>13734</v>
      </c>
      <c r="L25" s="269">
        <f>+'ADM 1'!V25+'ADM 2'!Q25+'LA VILLA'!O25+'LOS ALCARRIZOS'!O25+'LOS MINA'!R25+'LAS CAOBAS'!O25+AZUA!O25+BARAHONA!O25+BAYAGUANA!O25+'BATEY 6'!O25+BOYA!O25+'BOCA CACHON'!O25+'CRISTO REY'!O36+CONSTANZA!O25+CRISTOBAL!O25+DAJABON!O25+'EL SEYBO'!O25+'ELIAS PIÑA'!O25+'LA VEGA'!O25+MAO!O25+'LA ROMANA'!O25+'MONTE PLATA'!O25+MANZANILLO!O25+MONTECRISTI!O25+NAGUA!O25+NAVARRETE!O25+OCOA!O25+NEYBA!O25+PEDERNALES!O25+PEKIN!O25+PLATANITOS!O25+QUISQUEYA!O25+'PUERTO PLATA'!O25+SAMANA!O25+'SAN CRISTOBAL'!O25+'SAN FCO'!O25+'SAN JUAN'!O25+'SAN PEDRO'!O25+'SANTIAGO RDGUEZ'!O25+'VILLA GONZALEZ'!O25+MOCA!O25+'VILLA LIBERACION'!O25+BONAO!O25+GALVAN!O25+BOHECHIO!O26+PARAISO!O25+'ARROYO CANO'!O25+'POSTRER RIO'!O25+'EL YAQUE'!O25+ENRIQUILLO!O25+'HATO MAYOR'!O25+'LOTERIA NAC.'!O25+UASD!O25+HIGUEY!O25</f>
        <v>0</v>
      </c>
      <c r="M25" s="269">
        <f>+'ADM 1'!W25+'ADM 2'!R25+'LA VILLA'!P25+'LOS ALCARRIZOS'!P25+'LOS MINA'!S25+'LAS CAOBAS'!P25+AZUA!P25+BARAHONA!P25+BAYAGUANA!P25+'BATEY 6'!P25+BOYA!P25+'BOCA CACHON'!P25+'CRISTO REY'!P36+CONSTANZA!P25+CRISTOBAL!P25+DAJABON!P25+'EL SEYBO'!P25+'ELIAS PIÑA'!P25+'LA VEGA'!P25+MAO!P25+'LA ROMANA'!P25+'MONTE PLATA'!P25+MANZANILLO!P25+MONTECRISTI!P25+NAGUA!P25+NAVARRETE!P25+OCOA!P25+NEYBA!P25+PEDERNALES!P25+PEKIN!P25+PLATANITOS!P25+QUISQUEYA!P25+'PUERTO PLATA'!P25+SAMANA!P25+'SAN CRISTOBAL'!P25+'SAN FCO'!P25+'SAN JUAN'!P25+'SAN PEDRO'!P25+'SANTIAGO RDGUEZ'!P25+'VILLA GONZALEZ'!P25+MOCA!P25+'VILLA LIBERACION'!P25+BONAO!P25+GALVAN!P25+BOHECHIO!P26+PARAISO!P25+'ARROYO CANO'!P25+'POSTRER RIO'!P25+'EL YAQUE'!P25+ENRIQUILLO!P25+'HATO MAYOR'!P25+'LOTERIA NAC.'!P25+UASD!P25+HIGUEY!P25</f>
        <v>0</v>
      </c>
      <c r="N25" s="187">
        <f t="shared" si="2"/>
        <v>13734</v>
      </c>
      <c r="O25" s="183">
        <f t="shared" si="3"/>
        <v>22584</v>
      </c>
      <c r="S25" s="70"/>
      <c r="T25" s="3"/>
      <c r="U25" s="3"/>
      <c r="V25" s="70">
        <f t="shared" si="4"/>
        <v>0</v>
      </c>
    </row>
    <row r="26" spans="3:22" ht="15" customHeight="1" x14ac:dyDescent="0.3">
      <c r="C26" s="26">
        <v>11</v>
      </c>
      <c r="D26" s="264">
        <f>+'ADM 1'!D26+'ADM 2'!D26+'LA VILLA'!D26+'LOS ALCARRIZOS'!D26+'LOS MINA'!D26+'LAS CAOBAS'!D26+AZUA!D26+BARAHONA!D26+BAYAGUANA!D26+'BATEY 6'!D26+BOYA!D26+'BOCA CACHON'!D26+'CRISTO REY'!D37+CONSTANZA!D26+CRISTOBAL!D26+DAJABON!D26+'EL SEYBO'!D26+'ELIAS PIÑA'!D26+'LA VEGA'!D26+MAO!D26+'LA ROMANA'!D26+'MONTE PLATA'!D26+MANZANILLO!D26+MONTECRISTI!D26+NAGUA!D26+NAVARRETE!D26+OCOA!D26+NEYBA!D26+PEDERNALES!D26+PEKIN!D26+PLATANITOS!D26+QUISQUEYA!D26+'PUERTO PLATA'!D26+SAMANA!D26+'SAN CRISTOBAL'!D26+'SAN FCO'!D26+'SAN JUAN'!D26+'SAN PEDRO'!D26+'SANTIAGO RDGUEZ'!D26+'VILLA GONZALEZ'!D26+MOCA!D26+'VILLA LIBERACION'!D26+BONAO!D26+GALVAN!D26+BOHECHIO!D26+PARAISO!D26+'ARROYO CANO'!D26+'POSTRER RIO'!D26+'EL YAQUE'!D26+ENRIQUILLO!D26+'HATO MAYOR'!D26+'LOTERIA NAC.'!D26+UASD!D26+HIGUEY!D26</f>
        <v>0</v>
      </c>
      <c r="E26" s="264">
        <f>+'ADM 1'!E26+'ADM 2'!E26+'LA VILLA'!E26+'LOS ALCARRIZOS'!E26+'LOS MINA'!E26+'LAS CAOBAS'!E26+AZUA!E26+BARAHONA!E26+BAYAGUANA!E26+'BATEY 6'!E26+BOYA!E26+'BOCA CACHON'!E26+'CRISTO REY'!E37+CONSTANZA!E26+CRISTOBAL!E26+DAJABON!E26+'EL SEYBO'!E26+'ELIAS PIÑA'!E26+'LA VEGA'!E26+MAO!E26+'LA ROMANA'!E26+'MONTE PLATA'!E26+MANZANILLO!E26+MONTECRISTI!E26+NAGUA!E26+NAVARRETE!E26+OCOA!E26+NEYBA!E26+PEDERNALES!E26+PEKIN!E26+PLATANITOS!E26+QUISQUEYA!E26+'PUERTO PLATA'!E26+SAMANA!E26+'SAN CRISTOBAL'!E26+'SAN FCO'!E26+'SAN JUAN'!E26+'SAN PEDRO'!E26+'SANTIAGO RDGUEZ'!E26+'VILLA GONZALEZ'!E26+MOCA!E26+'VILLA LIBERACION'!E26+BONAO!E26+GALVAN!E26+BOHECHIO!E26+PARAISO!E26+'ARROYO CANO'!E26+'POSTRER RIO'!E26+'EL YAQUE'!E26+ENRIQUILLO!E26+'HATO MAYOR'!E26+'LOTERIA NAC.'!E26+UASD!E26+HIGUEY!E26</f>
        <v>0</v>
      </c>
      <c r="F26" s="318">
        <f t="shared" si="0"/>
        <v>0</v>
      </c>
      <c r="G26" s="266">
        <f>+'ADM 1'!Q26+'ADM 2'!L26+'LOS MINA'!M26+'LA VILLA'!J26+'LOS ALCARRIZOS'!J26+'LAS CAOBAS'!J26+AZUA!J26+BARAHONA!J26+BAYAGUANA!J26+'BATEY 6'!J26+BOYA!J26+'BOCA CACHON'!J26+'CRISTO REY'!J26+CONSTANZA!J26+CRISTOBAL!J26+DAJABON!J26+'EL SEYBO'!J26+'ELIAS PIÑA'!J26+'LA VEGA'!J26+MAO!J26+'LA ROMANA'!J26+'MONTE PLATA'!J26+MANZANILLO!J26+MONTECRISTI!J26+NAGUA!J26+NAVARRETE!J26+OCOA!J26+NEYBA!J26+PEDERNALES!J26+PEKIN!J26+PLATANITOS!J26+QUISQUEYA!J26+'PUERTO PLATA'!J26+SAMANA!J26+'SAN CRISTOBAL'!J26+'SAN FCO'!J26+'SAN JUAN'!J26+'SAN PEDRO'!J26+'SANTIAGO RDGUEZ'!J26+'VILLA GONZALEZ'!J26+MOCA!J26+'VILLA LIBERACION'!J26+BONAO!J26+GALVAN!J26+BOHECHIO!J26+PARAISO!J26+'ARROYO CANO'!J26+'POSTRER RIO'!J26+'EL YAQUE'!J26+ENRIQUILLO!J26+'HATO MAYOR'!J26+'LOTERIA NAC.'!J26+UASD!J26+HIGUEY!J26</f>
        <v>8750</v>
      </c>
      <c r="H26" s="270">
        <f>+'ADM 1'!R26+'ADM 2'!M26+'LOS MINA'!N26+'LA VILLA'!K26+'LOS ALCARRIZOS'!K26+'LAS CAOBAS'!K26+AZUA!K26+BARAHONA!K26+BAYAGUANA!K26+'BATEY 6'!K26+BOYA!K26+'BOCA CACHON'!K26+'CRISTO REY'!K26+CONSTANZA!K26+CRISTOBAL!K26+DAJABON!K26+'EL SEYBO'!K26+'ELIAS PIÑA'!K26+'LA VEGA'!K26+MAO!K26+'LA ROMANA'!K26+'MONTE PLATA'!K26+MANZANILLO!K26+MONTECRISTI!K26+NAGUA!K26+NAVARRETE!K26+OCOA!K26+NEYBA!K26+PEDERNALES!K26+PEKIN!K26+PLATANITOS!K26+QUISQUEYA!K26+'PUERTO PLATA'!K26+SAMANA!K26+'SAN CRISTOBAL'!K26+'SAN FCO'!K26+'SAN JUAN'!K26+'SAN PEDRO'!K26+'SANTIAGO RDGUEZ'!K26+'VILLA GONZALEZ'!K26+MOCA!K26+'VILLA LIBERACION'!K26+BONAO!K26+GALVAN!K26+BOHECHIO!K26+PARAISO!K26+'ARROYO CANO'!K26+'POSTRER RIO'!K26+'EL YAQUE'!K26+ENRIQUILLO!K26+'HATO MAYOR'!K26+'LOTERIA NAC.'!K26+UASD!K26+HIGUEY!K26</f>
        <v>338</v>
      </c>
      <c r="I26" s="270">
        <f>+'ADM 1'!S26+'ADM 2'!N26+'LOS MINA'!O26+'LA VILLA'!L26+'LOS ALCARRIZOS'!L26+'LAS CAOBAS'!L26+AZUA!L26+BARAHONA!L26+BAYAGUANA!L26+'BATEY 6'!L26+BOYA!L26+'BOCA CACHON'!L26+'CRISTO REY'!L26+CONSTANZA!L26+CRISTOBAL!L26+DAJABON!L26+'EL SEYBO'!L26+'ELIAS PIÑA'!L26+'LA VEGA'!L26+MAO!L26+'LA ROMANA'!L26+'MONTE PLATA'!L26+MANZANILLO!L26+MONTECRISTI!L26+NAGUA!L26+NAVARRETE!L26+OCOA!L26+NEYBA!L26+PEDERNALES!L26+PEKIN!L26+PLATANITOS!L26+QUISQUEYA!L26+'PUERTO PLATA'!L26+SAMANA!L26+'SAN CRISTOBAL'!L26+'SAN FCO'!L26+'SAN JUAN'!L26+'SAN PEDRO'!L26+'SANTIAGO RDGUEZ'!L26+'VILLA GONZALEZ'!L26+MOCA!L26+'VILLA LIBERACION'!L26+BONAO!L26+GALVAN!L26+BOHECHIO!L26+PARAISO!L26+'ARROYO CANO'!L26+'POSTRER RIO'!L26+'EL YAQUE'!L26+ENRIQUILLO!L26+'HATO MAYOR'!L26+'LOTERIA NAC.'!L26+UASD!L26+HIGUEY!L26</f>
        <v>10810</v>
      </c>
      <c r="J26" s="270">
        <f>+'ADM 1'!T26+'ADM 2'!O26+'LOS MINA'!P26+'LA VILLA'!M26+'LOS ALCARRIZOS'!M26+'LAS CAOBAS'!M26+AZUA!M26+BARAHONA!M26+BAYAGUANA!M26+'BATEY 6'!M26+BOYA!M26+'BOCA CACHON'!M26+'CRISTO REY'!M26+CONSTANZA!M26+CRISTOBAL!M26+DAJABON!M26+'EL SEYBO'!M26+'ELIAS PIÑA'!M26+'LA VEGA'!M26+MAO!M26+'LA ROMANA'!M26+'MONTE PLATA'!M26+MANZANILLO!M26+MONTECRISTI!M26+NAGUA!M26+NAVARRETE!M26+OCOA!M26+NEYBA!M26+PEDERNALES!M26+PEKIN!M26+PLATANITOS!M26+QUISQUEYA!M26+'PUERTO PLATA'!M26+SAMANA!M26+'SAN CRISTOBAL'!M26+'SAN FCO'!M26+'SAN JUAN'!M26+'SAN PEDRO'!M26+'SANTIAGO RDGUEZ'!M26+'VILLA GONZALEZ'!M26+MOCA!M26+'VILLA LIBERACION'!M26+BONAO!M26+GALVAN!M26+BOHECHIO!M26+PARAISO!M26+'ARROYO CANO'!M26+'POSTRER RIO'!M26+'EL YAQUE'!M26+ENRIQUILLO!M26+'HATO MAYOR'!M26+'LOTERIA NAC.'!M26+UASD!M26+HIGUEY!M26</f>
        <v>0</v>
      </c>
      <c r="K26" s="256">
        <f t="shared" si="1"/>
        <v>11148</v>
      </c>
      <c r="L26" s="269">
        <f>+'ADM 1'!V26+'ADM 2'!Q26+'LA VILLA'!O26+'LOS ALCARRIZOS'!O26+'LOS MINA'!R26+'LAS CAOBAS'!O26+AZUA!O26+BARAHONA!O26+BAYAGUANA!O26+'BATEY 6'!O26+BOYA!O26+'BOCA CACHON'!O26+'CRISTO REY'!O37+CONSTANZA!O26+CRISTOBAL!O26+DAJABON!O26+'EL SEYBO'!O26+'ELIAS PIÑA'!O26+'LA VEGA'!O26+MAO!O26+'LA ROMANA'!O26+'MONTE PLATA'!O26+MANZANILLO!O26+MONTECRISTI!O26+NAGUA!O26+NAVARRETE!O26+OCOA!O26+NEYBA!O26+PEDERNALES!O26+PEKIN!O26+PLATANITOS!O26+QUISQUEYA!O26+'PUERTO PLATA'!O26+SAMANA!O26+'SAN CRISTOBAL'!O26+'SAN FCO'!O26+'SAN JUAN'!O26+'SAN PEDRO'!O26+'SANTIAGO RDGUEZ'!O26+'VILLA GONZALEZ'!O26+MOCA!O26+'VILLA LIBERACION'!O26+BONAO!O26+GALVAN!O26+BOHECHIO!O27+PARAISO!O26+'ARROYO CANO'!O26+'POSTRER RIO'!O26+'EL YAQUE'!O26+ENRIQUILLO!O26+'HATO MAYOR'!O26+'LOTERIA NAC.'!O26+UASD!O26+HIGUEY!O26</f>
        <v>0</v>
      </c>
      <c r="M26" s="269">
        <f>+'ADM 1'!W26+'ADM 2'!R26+'LA VILLA'!P26+'LOS ALCARRIZOS'!P26+'LOS MINA'!S26+'LAS CAOBAS'!P26+AZUA!P26+BARAHONA!P26+BAYAGUANA!P26+'BATEY 6'!P26+BOYA!P26+'BOCA CACHON'!P26+'CRISTO REY'!P37+CONSTANZA!P26+CRISTOBAL!P26+DAJABON!P26+'EL SEYBO'!P26+'ELIAS PIÑA'!P26+'LA VEGA'!P26+MAO!P26+'LA ROMANA'!P26+'MONTE PLATA'!P26+MANZANILLO!P26+MONTECRISTI!P26+NAGUA!P26+NAVARRETE!P26+OCOA!P26+NEYBA!P26+PEDERNALES!P26+PEKIN!P26+PLATANITOS!P26+QUISQUEYA!P26+'PUERTO PLATA'!P26+SAMANA!P26+'SAN CRISTOBAL'!P26+'SAN FCO'!P26+'SAN JUAN'!P26+'SAN PEDRO'!P26+'SANTIAGO RDGUEZ'!P26+'VILLA GONZALEZ'!P26+MOCA!P26+'VILLA LIBERACION'!P26+BONAO!P26+GALVAN!P26+BOHECHIO!P27+PARAISO!P26+'ARROYO CANO'!P26+'POSTRER RIO'!P26+'EL YAQUE'!P26+ENRIQUILLO!P26+'HATO MAYOR'!P26+'LOTERIA NAC.'!P26+UASD!P26+HIGUEY!P26</f>
        <v>0</v>
      </c>
      <c r="N26" s="187">
        <f t="shared" si="2"/>
        <v>11148</v>
      </c>
      <c r="O26" s="183">
        <f t="shared" si="3"/>
        <v>19898</v>
      </c>
      <c r="S26" s="70"/>
      <c r="T26" s="3"/>
      <c r="U26" s="3"/>
      <c r="V26" s="70">
        <f t="shared" si="4"/>
        <v>0</v>
      </c>
    </row>
    <row r="27" spans="3:22" ht="15" customHeight="1" x14ac:dyDescent="0.3">
      <c r="C27" s="26">
        <v>12</v>
      </c>
      <c r="D27" s="264">
        <f>+'ADM 1'!D27+'ADM 2'!D27+'LA VILLA'!D27+'LOS ALCARRIZOS'!D27+'LOS MINA'!D27+'LAS CAOBAS'!D27+AZUA!D27+BARAHONA!D27+BAYAGUANA!D27+'BATEY 6'!D27+BOYA!D27+'BOCA CACHON'!D27+'CRISTO REY'!D38+CONSTANZA!D27+CRISTOBAL!D27+DAJABON!D27+'EL SEYBO'!D27+'ELIAS PIÑA'!D27+'LA VEGA'!D27+MAO!D27+'LA ROMANA'!D27+'MONTE PLATA'!D27+MANZANILLO!D27+MONTECRISTI!D27+NAGUA!D27+NAVARRETE!D27+OCOA!D27+NEYBA!D27+PEDERNALES!D27+PEKIN!D27+PLATANITOS!D27+QUISQUEYA!D27+'PUERTO PLATA'!D27+SAMANA!D27+'SAN CRISTOBAL'!D27+'SAN FCO'!D27+'SAN JUAN'!D27+'SAN PEDRO'!D27+'SANTIAGO RDGUEZ'!D27+'VILLA GONZALEZ'!D27+MOCA!D27+'VILLA LIBERACION'!D27+BONAO!D27+GALVAN!D27+BOHECHIO!D27+PARAISO!D27+'ARROYO CANO'!D27+'POSTRER RIO'!D27+'EL YAQUE'!D27+ENRIQUILLO!D27+'HATO MAYOR'!D27+'LOTERIA NAC.'!D27+UASD!D27+HIGUEY!D27</f>
        <v>18</v>
      </c>
      <c r="E27" s="264">
        <f>+'ADM 1'!E27+'ADM 2'!E27+'LA VILLA'!E27+'LOS ALCARRIZOS'!E27+'LOS MINA'!E27+'LAS CAOBAS'!E27+AZUA!E27+BARAHONA!E27+BAYAGUANA!E27+'BATEY 6'!E27+BOYA!E27+'BOCA CACHON'!E27+'CRISTO REY'!E38+CONSTANZA!E27+CRISTOBAL!E27+DAJABON!E27+'EL SEYBO'!E27+'ELIAS PIÑA'!E27+'LA VEGA'!E27+MAO!E27+'LA ROMANA'!E27+'MONTE PLATA'!E27+MANZANILLO!E27+MONTECRISTI!E27+NAGUA!E27+NAVARRETE!E27+OCOA!E27+NEYBA!E27+PEDERNALES!E27+PEKIN!E27+PLATANITOS!E27+QUISQUEYA!E27+'PUERTO PLATA'!E27+SAMANA!E27+'SAN CRISTOBAL'!E27+'SAN FCO'!E27+'SAN JUAN'!E27+'SAN PEDRO'!E27+'SANTIAGO RDGUEZ'!E27+'VILLA GONZALEZ'!E27+MOCA!E27+'VILLA LIBERACION'!E27+BONAO!E27+GALVAN!E27+BOHECHIO!E27+PARAISO!E27+'ARROYO CANO'!E27+'POSTRER RIO'!E27+'EL YAQUE'!E27+ENRIQUILLO!E27+'HATO MAYOR'!E27+'LOTERIA NAC.'!E27+UASD!E27+HIGUEY!E27</f>
        <v>0</v>
      </c>
      <c r="F27" s="318">
        <f t="shared" si="0"/>
        <v>18</v>
      </c>
      <c r="G27" s="266">
        <f>+'ADM 1'!Q27+'ADM 2'!L27+'LOS MINA'!M27+'LA VILLA'!J27+'LOS ALCARRIZOS'!J27+'LAS CAOBAS'!J27+AZUA!J27+BARAHONA!J27+BAYAGUANA!J27+'BATEY 6'!J27+BOYA!J27+'BOCA CACHON'!J27+'CRISTO REY'!J27+CONSTANZA!J27+CRISTOBAL!J27+DAJABON!J27+'EL SEYBO'!J27+'ELIAS PIÑA'!J27+'LA VEGA'!J27+MAO!J27+'LA ROMANA'!J27+'MONTE PLATA'!J27+MANZANILLO!J27+MONTECRISTI!J27+NAGUA!J27+NAVARRETE!J27+OCOA!J27+NEYBA!J27+PEDERNALES!J27+PEKIN!J27+PLATANITOS!J27+QUISQUEYA!J27+'PUERTO PLATA'!J27+SAMANA!J27+'SAN CRISTOBAL'!J27+'SAN FCO'!J27+'SAN JUAN'!J27+'SAN PEDRO'!J27+'SANTIAGO RDGUEZ'!J27+'VILLA GONZALEZ'!J27+MOCA!J27+'VILLA LIBERACION'!J27+BONAO!J27+GALVAN!J27+BOHECHIO!J27+PARAISO!J27+'ARROYO CANO'!J27+'POSTRER RIO'!J27+'EL YAQUE'!J27+ENRIQUILLO!J27+'HATO MAYOR'!J27+'LOTERIA NAC.'!J27+UASD!J27+HIGUEY!J27</f>
        <v>10898</v>
      </c>
      <c r="H27" s="270">
        <f>+'ADM 1'!R27+'ADM 2'!M27+'LOS MINA'!N27+'LA VILLA'!K27+'LOS ALCARRIZOS'!K27+'LAS CAOBAS'!K27+AZUA!K27+BARAHONA!K27+BAYAGUANA!K27+'BATEY 6'!K27+BOYA!K27+'BOCA CACHON'!K27+'CRISTO REY'!K27+CONSTANZA!K27+CRISTOBAL!K27+DAJABON!K27+'EL SEYBO'!K27+'ELIAS PIÑA'!K27+'LA VEGA'!K27+MAO!K27+'LA ROMANA'!K27+'MONTE PLATA'!K27+MANZANILLO!K27+MONTECRISTI!K27+NAGUA!K27+NAVARRETE!K27+OCOA!K27+NEYBA!K27+PEDERNALES!K27+PEKIN!K27+PLATANITOS!K27+QUISQUEYA!K27+'PUERTO PLATA'!K27+SAMANA!K27+'SAN CRISTOBAL'!K27+'SAN FCO'!K27+'SAN JUAN'!K27+'SAN PEDRO'!K27+'SANTIAGO RDGUEZ'!K27+'VILLA GONZALEZ'!K27+MOCA!K27+'VILLA LIBERACION'!K27+BONAO!K27+GALVAN!K27+BOHECHIO!K27+PARAISO!K27+'ARROYO CANO'!K27+'POSTRER RIO'!K27+'EL YAQUE'!K27+ENRIQUILLO!K27+'HATO MAYOR'!K27+'LOTERIA NAC.'!K27+UASD!K27+HIGUEY!K27</f>
        <v>2477</v>
      </c>
      <c r="I27" s="270">
        <f>+'ADM 1'!S27+'ADM 2'!N27+'LOS MINA'!O27+'LA VILLA'!L27+'LOS ALCARRIZOS'!L27+'LAS CAOBAS'!L27+AZUA!L27+BARAHONA!L27+BAYAGUANA!L27+'BATEY 6'!L27+BOYA!L27+'BOCA CACHON'!L27+'CRISTO REY'!L27+CONSTANZA!L27+CRISTOBAL!L27+DAJABON!L27+'EL SEYBO'!L27+'ELIAS PIÑA'!L27+'LA VEGA'!L27+MAO!L27+'LA ROMANA'!L27+'MONTE PLATA'!L27+MANZANILLO!L27+MONTECRISTI!L27+NAGUA!L27+NAVARRETE!L27+OCOA!L27+NEYBA!L27+PEDERNALES!L27+PEKIN!L27+PLATANITOS!L27+QUISQUEYA!L27+'PUERTO PLATA'!L27+SAMANA!L27+'SAN CRISTOBAL'!L27+'SAN FCO'!L27+'SAN JUAN'!L27+'SAN PEDRO'!L27+'SANTIAGO RDGUEZ'!L27+'VILLA GONZALEZ'!L27+MOCA!L27+'VILLA LIBERACION'!L27+BONAO!L27+GALVAN!L27+BOHECHIO!L27+PARAISO!L27+'ARROYO CANO'!L27+'POSTRER RIO'!L27+'EL YAQUE'!L27+ENRIQUILLO!L27+'HATO MAYOR'!L27+'LOTERIA NAC.'!L27+UASD!L27+HIGUEY!L27</f>
        <v>77099</v>
      </c>
      <c r="J27" s="270">
        <f>+'ADM 1'!T27+'ADM 2'!O27+'LOS MINA'!P27+'LA VILLA'!M27+'LOS ALCARRIZOS'!M27+'LAS CAOBAS'!M27+AZUA!M27+BARAHONA!M27+BAYAGUANA!M27+'BATEY 6'!M27+BOYA!M27+'BOCA CACHON'!M27+'CRISTO REY'!M27+CONSTANZA!M27+CRISTOBAL!M27+DAJABON!M27+'EL SEYBO'!M27+'ELIAS PIÑA'!M27+'LA VEGA'!M27+MAO!M27+'LA ROMANA'!M27+'MONTE PLATA'!M27+MANZANILLO!M27+MONTECRISTI!M27+NAGUA!M27+NAVARRETE!M27+OCOA!M27+NEYBA!M27+PEDERNALES!M27+PEKIN!M27+PLATANITOS!M27+QUISQUEYA!M27+'PUERTO PLATA'!M27+SAMANA!M27+'SAN CRISTOBAL'!M27+'SAN FCO'!M27+'SAN JUAN'!M27+'SAN PEDRO'!M27+'SANTIAGO RDGUEZ'!M27+'VILLA GONZALEZ'!M27+MOCA!M27+'VILLA LIBERACION'!M27+BONAO!M27+GALVAN!M27+BOHECHIO!M27+PARAISO!M27+'ARROYO CANO'!M27+'POSTRER RIO'!M27+'EL YAQUE'!M27+ENRIQUILLO!M27+'HATO MAYOR'!M27+'LOTERIA NAC.'!M27+UASD!M27+HIGUEY!M27</f>
        <v>2369</v>
      </c>
      <c r="K27" s="256">
        <f t="shared" si="1"/>
        <v>81945</v>
      </c>
      <c r="L27" s="269">
        <f>+'ADM 1'!V27+'ADM 2'!Q27+'LA VILLA'!O27+'LOS ALCARRIZOS'!O27+'LOS MINA'!R27+'LAS CAOBAS'!O27+AZUA!O27+BARAHONA!O27+BAYAGUANA!O27+'BATEY 6'!O27+BOYA!O27+'BOCA CACHON'!O27+'CRISTO REY'!O38+CONSTANZA!O27+CRISTOBAL!O27+DAJABON!O27+'EL SEYBO'!O27+'ELIAS PIÑA'!O27+'LA VEGA'!O27+MAO!O27+'LA ROMANA'!O27+'MONTE PLATA'!O27+MANZANILLO!O27+MONTECRISTI!O27+NAGUA!O27+NAVARRETE!O27+OCOA!O27+NEYBA!O27+PEDERNALES!O27+PEKIN!O27+PLATANITOS!O27+QUISQUEYA!O27+'PUERTO PLATA'!O27+SAMANA!O27+'SAN CRISTOBAL'!O27+'SAN FCO'!O27+'SAN JUAN'!O27+'SAN PEDRO'!O27+'SANTIAGO RDGUEZ'!O27+'VILLA GONZALEZ'!O27+MOCA!O27+'VILLA LIBERACION'!O27+BONAO!O27+GALVAN!O27+BOHECHIO!O28+PARAISO!O27+'ARROYO CANO'!O27+'POSTRER RIO'!O27+'EL YAQUE'!O27+ENRIQUILLO!O27+'HATO MAYOR'!O27+'LOTERIA NAC.'!O27+UASD!O27+HIGUEY!O27</f>
        <v>0</v>
      </c>
      <c r="M27" s="269">
        <f>+'ADM 1'!W27+'ADM 2'!R27+'LA VILLA'!P27+'LOS ALCARRIZOS'!P27+'LOS MINA'!S27+'LAS CAOBAS'!P27+AZUA!P27+BARAHONA!P27+BAYAGUANA!P27+'BATEY 6'!P27+BOYA!P27+'BOCA CACHON'!P27+'CRISTO REY'!P38+CONSTANZA!P27+CRISTOBAL!P27+DAJABON!P27+'EL SEYBO'!P27+'ELIAS PIÑA'!P27+'LA VEGA'!P27+MAO!P27+'LA ROMANA'!P27+'MONTE PLATA'!P27+MANZANILLO!P27+MONTECRISTI!P27+NAGUA!P27+NAVARRETE!P27+OCOA!P27+NEYBA!P27+PEDERNALES!P27+PEKIN!P27+PLATANITOS!P27+QUISQUEYA!P27+'PUERTO PLATA'!P27+SAMANA!P27+'SAN CRISTOBAL'!P27+'SAN FCO'!P27+'SAN JUAN'!P27+'SAN PEDRO'!P27+'SANTIAGO RDGUEZ'!P27+'VILLA GONZALEZ'!P27+MOCA!P27+'VILLA LIBERACION'!P27+BONAO!P27+GALVAN!P27+BOHECHIO!P28+PARAISO!P27+'ARROYO CANO'!P27+'POSTRER RIO'!P27+'EL YAQUE'!P27+ENRIQUILLO!P27+'HATO MAYOR'!P27+'LOTERIA NAC.'!P27+UASD!P27+HIGUEY!P27</f>
        <v>0</v>
      </c>
      <c r="N27" s="187">
        <f t="shared" si="2"/>
        <v>81945</v>
      </c>
      <c r="O27" s="183">
        <f t="shared" si="3"/>
        <v>92861</v>
      </c>
      <c r="S27" s="70"/>
      <c r="T27" s="3"/>
      <c r="U27" s="3"/>
      <c r="V27" s="70">
        <f t="shared" si="4"/>
        <v>0</v>
      </c>
    </row>
    <row r="28" spans="3:22" ht="15" customHeight="1" x14ac:dyDescent="0.3">
      <c r="C28" s="26">
        <v>13</v>
      </c>
      <c r="D28" s="264">
        <f>+'ADM 1'!D28+'ADM 2'!D28+'LA VILLA'!D28+'LOS ALCARRIZOS'!D28+'LOS MINA'!D28+'LAS CAOBAS'!D28+AZUA!D28+BARAHONA!D28+BAYAGUANA!D28+'BATEY 6'!D28+BOYA!D28+'BOCA CACHON'!D28+'CRISTO REY'!D39+CONSTANZA!D28+CRISTOBAL!D28+DAJABON!D28+'EL SEYBO'!D28+'ELIAS PIÑA'!D28+'LA VEGA'!D28+MAO!D28+'LA ROMANA'!D28+'MONTE PLATA'!D28+MANZANILLO!D28+MONTECRISTI!D28+NAGUA!D28+NAVARRETE!D28+OCOA!D28+NEYBA!D28+PEDERNALES!D28+PEKIN!D28+PLATANITOS!D28+QUISQUEYA!D28+'PUERTO PLATA'!D28+SAMANA!D28+'SAN CRISTOBAL'!D28+'SAN FCO'!D28+'SAN JUAN'!D28+'SAN PEDRO'!D28+'SANTIAGO RDGUEZ'!D28+'VILLA GONZALEZ'!D28+MOCA!D28+'VILLA LIBERACION'!D28+BONAO!D28+GALVAN!D28+BOHECHIO!D28+PARAISO!D28+'ARROYO CANO'!D28+'POSTRER RIO'!D28+'EL YAQUE'!D28+ENRIQUILLO!D28+'HATO MAYOR'!D28+'LOTERIA NAC.'!D28+UASD!D28+HIGUEY!D28</f>
        <v>13</v>
      </c>
      <c r="E28" s="264">
        <f>+'ADM 1'!E28+'ADM 2'!E28+'LA VILLA'!E28+'LOS ALCARRIZOS'!E28+'LOS MINA'!E28+'LAS CAOBAS'!E28+AZUA!E28+BARAHONA!E28+BAYAGUANA!E28+'BATEY 6'!E28+BOYA!E28+'BOCA CACHON'!E28+'CRISTO REY'!E39+CONSTANZA!E28+CRISTOBAL!E28+DAJABON!E28+'EL SEYBO'!E28+'ELIAS PIÑA'!E28+'LA VEGA'!E28+MAO!E28+'LA ROMANA'!E28+'MONTE PLATA'!E28+MANZANILLO!E28+MONTECRISTI!E28+NAGUA!E28+NAVARRETE!E28+OCOA!E28+NEYBA!E28+PEDERNALES!E28+PEKIN!E28+PLATANITOS!E28+QUISQUEYA!E28+'PUERTO PLATA'!E28+SAMANA!E28+'SAN CRISTOBAL'!E28+'SAN FCO'!E28+'SAN JUAN'!E28+'SAN PEDRO'!E28+'SANTIAGO RDGUEZ'!E28+'VILLA GONZALEZ'!E28+MOCA!E28+'VILLA LIBERACION'!E28+BONAO!E28+GALVAN!E28+BOHECHIO!E28+PARAISO!E28+'ARROYO CANO'!E28+'POSTRER RIO'!E28+'EL YAQUE'!E28+ENRIQUILLO!E28+'HATO MAYOR'!E28+'LOTERIA NAC.'!E28+UASD!E28+HIGUEY!E28</f>
        <v>0</v>
      </c>
      <c r="F28" s="318">
        <f t="shared" si="0"/>
        <v>13</v>
      </c>
      <c r="G28" s="266">
        <f>+'ADM 1'!Q28+'ADM 2'!L28+'LOS MINA'!M28+'LA VILLA'!J28+'LOS ALCARRIZOS'!J28+'LAS CAOBAS'!J28+AZUA!J28+BARAHONA!J28+BAYAGUANA!J28+'BATEY 6'!J28+BOYA!J28+'BOCA CACHON'!J28+'CRISTO REY'!J28+CONSTANZA!J28+CRISTOBAL!J28+DAJABON!J28+'EL SEYBO'!J28+'ELIAS PIÑA'!J28+'LA VEGA'!J28+MAO!J28+'LA ROMANA'!J28+'MONTE PLATA'!J28+MANZANILLO!J28+MONTECRISTI!J28+NAGUA!J28+NAVARRETE!J28+OCOA!J28+NEYBA!J28+PEDERNALES!J28+PEKIN!J28+PLATANITOS!J28+QUISQUEYA!J28+'PUERTO PLATA'!J28+SAMANA!J28+'SAN CRISTOBAL'!J28+'SAN FCO'!J28+'SAN JUAN'!J28+'SAN PEDRO'!J28+'SANTIAGO RDGUEZ'!J28+'VILLA GONZALEZ'!J28+MOCA!J28+'VILLA LIBERACION'!J28+BONAO!J28+GALVAN!J28+BOHECHIO!J28+PARAISO!J28+'ARROYO CANO'!J28+'POSTRER RIO'!J28+'EL YAQUE'!J28+ENRIQUILLO!J28+'HATO MAYOR'!J28+'LOTERIA NAC.'!J28+UASD!J28+HIGUEY!J28</f>
        <v>10851</v>
      </c>
      <c r="H28" s="270">
        <f>+'ADM 1'!R28+'ADM 2'!M28+'LOS MINA'!N28+'LA VILLA'!K28+'LOS ALCARRIZOS'!K28+'LAS CAOBAS'!K28+AZUA!K28+BARAHONA!K28+BAYAGUANA!K28+'BATEY 6'!K28+BOYA!K28+'BOCA CACHON'!K28+'CRISTO REY'!K28+CONSTANZA!K28+CRISTOBAL!K28+DAJABON!K28+'EL SEYBO'!K28+'ELIAS PIÑA'!K28+'LA VEGA'!K28+MAO!K28+'LA ROMANA'!K28+'MONTE PLATA'!K28+MANZANILLO!K28+MONTECRISTI!K28+NAGUA!K28+NAVARRETE!K28+OCOA!K28+NEYBA!K28+PEDERNALES!K28+PEKIN!K28+PLATANITOS!K28+QUISQUEYA!K28+'PUERTO PLATA'!K28+SAMANA!K28+'SAN CRISTOBAL'!K28+'SAN FCO'!K28+'SAN JUAN'!K28+'SAN PEDRO'!K28+'SANTIAGO RDGUEZ'!K28+'VILLA GONZALEZ'!K28+MOCA!K28+'VILLA LIBERACION'!K28+BONAO!K28+GALVAN!K28+BOHECHIO!K28+PARAISO!K28+'ARROYO CANO'!K28+'POSTRER RIO'!K28+'EL YAQUE'!K28+ENRIQUILLO!K28+'HATO MAYOR'!K28+'LOTERIA NAC.'!K28+UASD!K28+HIGUEY!K28</f>
        <v>2474</v>
      </c>
      <c r="I28" s="270">
        <f>+'ADM 1'!S28+'ADM 2'!N28+'LOS MINA'!O28+'LA VILLA'!L28+'LOS ALCARRIZOS'!L28+'LAS CAOBAS'!L28+AZUA!L28+BARAHONA!L28+BAYAGUANA!L28+'BATEY 6'!L28+BOYA!L28+'BOCA CACHON'!L28+'CRISTO REY'!L28+CONSTANZA!L28+CRISTOBAL!L28+DAJABON!L28+'EL SEYBO'!L28+'ELIAS PIÑA'!L28+'LA VEGA'!L28+MAO!L28+'LA ROMANA'!L28+'MONTE PLATA'!L28+MANZANILLO!L28+MONTECRISTI!L28+NAGUA!L28+NAVARRETE!L28+OCOA!L28+NEYBA!L28+PEDERNALES!L28+PEKIN!L28+PLATANITOS!L28+QUISQUEYA!L28+'PUERTO PLATA'!L28+SAMANA!L28+'SAN CRISTOBAL'!L28+'SAN FCO'!L28+'SAN JUAN'!L28+'SAN PEDRO'!L28+'SANTIAGO RDGUEZ'!L28+'VILLA GONZALEZ'!L28+MOCA!L28+'VILLA LIBERACION'!L28+BONAO!L28+GALVAN!L28+BOHECHIO!L28+PARAISO!L28+'ARROYO CANO'!L28+'POSTRER RIO'!L28+'EL YAQUE'!L28+ENRIQUILLO!L28+'HATO MAYOR'!L28+'LOTERIA NAC.'!L28+UASD!L28+HIGUEY!L28</f>
        <v>80665</v>
      </c>
      <c r="J28" s="270">
        <f>+'ADM 1'!T28+'ADM 2'!O28+'LOS MINA'!P28+'LA VILLA'!M28+'LOS ALCARRIZOS'!M28+'LAS CAOBAS'!M28+AZUA!M28+BARAHONA!M28+BAYAGUANA!M28+'BATEY 6'!M28+BOYA!M28+'BOCA CACHON'!M28+'CRISTO REY'!M28+CONSTANZA!M28+CRISTOBAL!M28+DAJABON!M28+'EL SEYBO'!M28+'ELIAS PIÑA'!M28+'LA VEGA'!M28+MAO!M28+'LA ROMANA'!M28+'MONTE PLATA'!M28+MANZANILLO!M28+MONTECRISTI!M28+NAGUA!M28+NAVARRETE!M28+OCOA!M28+NEYBA!M28+PEDERNALES!M28+PEKIN!M28+PLATANITOS!M28+QUISQUEYA!M28+'PUERTO PLATA'!M28+SAMANA!M28+'SAN CRISTOBAL'!M28+'SAN FCO'!M28+'SAN JUAN'!M28+'SAN PEDRO'!M28+'SANTIAGO RDGUEZ'!M28+'VILLA GONZALEZ'!M28+MOCA!M28+'VILLA LIBERACION'!M28+BONAO!M28+GALVAN!M28+BOHECHIO!M28+PARAISO!M28+'ARROYO CANO'!M28+'POSTRER RIO'!M28+'EL YAQUE'!M28+ENRIQUILLO!M28+'HATO MAYOR'!M28+'LOTERIA NAC.'!M28+UASD!M28+HIGUEY!M28</f>
        <v>3103</v>
      </c>
      <c r="K28" s="256">
        <f t="shared" si="1"/>
        <v>86242</v>
      </c>
      <c r="L28" s="269">
        <f>+'ADM 1'!V28+'ADM 2'!Q28+'LA VILLA'!O28+'LOS ALCARRIZOS'!O28+'LOS MINA'!R28+'LAS CAOBAS'!O28+AZUA!O28+BARAHONA!O28+BAYAGUANA!O28+'BATEY 6'!O28+BOYA!O28+'BOCA CACHON'!O28+'CRISTO REY'!O39+CONSTANZA!O28+CRISTOBAL!O28+DAJABON!O28+'EL SEYBO'!O28+'ELIAS PIÑA'!O28+'LA VEGA'!O28+MAO!O28+'LA ROMANA'!O28+'MONTE PLATA'!O28+MANZANILLO!O28+MONTECRISTI!O28+NAGUA!O28+NAVARRETE!O28+OCOA!O28+NEYBA!O28+PEDERNALES!O28+PEKIN!O28+PLATANITOS!O28+QUISQUEYA!O28+'PUERTO PLATA'!O28+SAMANA!O28+'SAN CRISTOBAL'!O28+'SAN FCO'!O28+'SAN JUAN'!O28+'SAN PEDRO'!O28+'SANTIAGO RDGUEZ'!O28+'VILLA GONZALEZ'!O28+MOCA!O28+'VILLA LIBERACION'!O28+BONAO!O28+GALVAN!O28+BOHECHIO!O29+PARAISO!O28+'ARROYO CANO'!O28+'POSTRER RIO'!O28+'EL YAQUE'!O28+ENRIQUILLO!O28+'HATO MAYOR'!O28+'LOTERIA NAC.'!O28+UASD!O28+HIGUEY!O28</f>
        <v>0</v>
      </c>
      <c r="M28" s="269">
        <f>+'ADM 1'!W28+'ADM 2'!R28+'LA VILLA'!P28+'LOS ALCARRIZOS'!P28+'LOS MINA'!S28+'LAS CAOBAS'!P28+AZUA!P28+BARAHONA!P28+BAYAGUANA!P28+'BATEY 6'!P28+BOYA!P28+'BOCA CACHON'!P28+'CRISTO REY'!P39+CONSTANZA!P28+CRISTOBAL!P28+DAJABON!P28+'EL SEYBO'!P28+'ELIAS PIÑA'!P28+'LA VEGA'!P28+MAO!P28+'LA ROMANA'!P28+'MONTE PLATA'!P28+MANZANILLO!P28+MONTECRISTI!P28+NAGUA!P28+NAVARRETE!P28+OCOA!P28+NEYBA!P28+PEDERNALES!P28+PEKIN!P28+PLATANITOS!P28+QUISQUEYA!P28+'PUERTO PLATA'!P28+SAMANA!P28+'SAN CRISTOBAL'!P28+'SAN FCO'!P28+'SAN JUAN'!P28+'SAN PEDRO'!P28+'SANTIAGO RDGUEZ'!P28+'VILLA GONZALEZ'!P28+MOCA!P28+'VILLA LIBERACION'!P28+BONAO!P28+GALVAN!P28+BOHECHIO!P29+PARAISO!P28+'ARROYO CANO'!P28+'POSTRER RIO'!P28+'EL YAQUE'!P28+ENRIQUILLO!P28+'HATO MAYOR'!P28+'LOTERIA NAC.'!P28+UASD!P28+HIGUEY!P28</f>
        <v>0</v>
      </c>
      <c r="N28" s="187">
        <f t="shared" si="2"/>
        <v>86242</v>
      </c>
      <c r="O28" s="183">
        <f t="shared" si="3"/>
        <v>97106</v>
      </c>
      <c r="S28" s="70"/>
      <c r="T28" s="3"/>
      <c r="U28" s="3"/>
      <c r="V28" s="70">
        <f t="shared" si="4"/>
        <v>0</v>
      </c>
    </row>
    <row r="29" spans="3:22" ht="15" customHeight="1" x14ac:dyDescent="0.3">
      <c r="C29" s="26">
        <v>14</v>
      </c>
      <c r="D29" s="264">
        <f>+'ADM 1'!D29+'ADM 2'!D29+'LA VILLA'!D29+'LOS ALCARRIZOS'!D29+'LOS MINA'!D29+'LAS CAOBAS'!D29+AZUA!D29+BARAHONA!D29+BAYAGUANA!D29+'BATEY 6'!D29+BOYA!D29+'BOCA CACHON'!D29+'CRISTO REY'!D40+CONSTANZA!D29+CRISTOBAL!D29+DAJABON!D29+'EL SEYBO'!D29+'ELIAS PIÑA'!D29+'LA VEGA'!D29+MAO!D29+'LA ROMANA'!D29+'MONTE PLATA'!D29+MANZANILLO!D29+MONTECRISTI!D29+NAGUA!D29+NAVARRETE!D29+OCOA!D29+NEYBA!D29+PEDERNALES!D29+PEKIN!D29+PLATANITOS!D29+QUISQUEYA!D29+'PUERTO PLATA'!D29+SAMANA!D29+'SAN CRISTOBAL'!D29+'SAN FCO'!D29+'SAN JUAN'!D29+'SAN PEDRO'!D29+'SANTIAGO RDGUEZ'!D29+'VILLA GONZALEZ'!D29+MOCA!D29+'VILLA LIBERACION'!D29+BONAO!D29+GALVAN!D29+BOHECHIO!D29+PARAISO!D29+'ARROYO CANO'!D29+'POSTRER RIO'!D29+'EL YAQUE'!D29+ENRIQUILLO!D29+'HATO MAYOR'!D29+'LOTERIA NAC.'!D29+UASD!D29+HIGUEY!D29</f>
        <v>15</v>
      </c>
      <c r="E29" s="264">
        <f>+'ADM 1'!E29+'ADM 2'!E29+'LA VILLA'!E29+'LOS ALCARRIZOS'!E29+'LOS MINA'!E29+'LAS CAOBAS'!E29+AZUA!E29+BARAHONA!E29+BAYAGUANA!E29+'BATEY 6'!E29+BOYA!E29+'BOCA CACHON'!E29+'CRISTO REY'!E40+CONSTANZA!E29+CRISTOBAL!E29+DAJABON!E29+'EL SEYBO'!E29+'ELIAS PIÑA'!E29+'LA VEGA'!E29+MAO!E29+'LA ROMANA'!E29+'MONTE PLATA'!E29+MANZANILLO!E29+MONTECRISTI!E29+NAGUA!E29+NAVARRETE!E29+OCOA!E29+NEYBA!E29+PEDERNALES!E29+PEKIN!E29+PLATANITOS!E29+QUISQUEYA!E29+'PUERTO PLATA'!E29+SAMANA!E29+'SAN CRISTOBAL'!E29+'SAN FCO'!E29+'SAN JUAN'!E29+'SAN PEDRO'!E29+'SANTIAGO RDGUEZ'!E29+'VILLA GONZALEZ'!E29+MOCA!E29+'VILLA LIBERACION'!E29+BONAO!E29+GALVAN!E29+BOHECHIO!E29+PARAISO!E29+'ARROYO CANO'!E29+'POSTRER RIO'!E29+'EL YAQUE'!E29+ENRIQUILLO!E29+'HATO MAYOR'!E29+'LOTERIA NAC.'!E29+UASD!E29+HIGUEY!E29</f>
        <v>0</v>
      </c>
      <c r="F29" s="318">
        <f t="shared" si="0"/>
        <v>15</v>
      </c>
      <c r="G29" s="266">
        <f>+'ADM 1'!Q29+'ADM 2'!L29+'LOS MINA'!M29+'LA VILLA'!J29+'LOS ALCARRIZOS'!J29+'LAS CAOBAS'!J29+AZUA!J29+BARAHONA!J29+BAYAGUANA!J29+'BATEY 6'!J29+BOYA!J29+'BOCA CACHON'!J29+'CRISTO REY'!J29+CONSTANZA!J29+CRISTOBAL!J29+DAJABON!J29+'EL SEYBO'!J29+'ELIAS PIÑA'!J29+'LA VEGA'!J29+MAO!J29+'LA ROMANA'!J29+'MONTE PLATA'!J29+MANZANILLO!J29+MONTECRISTI!J29+NAGUA!J29+NAVARRETE!J29+OCOA!J29+NEYBA!J29+PEDERNALES!J29+PEKIN!J29+PLATANITOS!J29+QUISQUEYA!J29+'PUERTO PLATA'!J29+SAMANA!J29+'SAN CRISTOBAL'!J29+'SAN FCO'!J29+'SAN JUAN'!J29+'SAN PEDRO'!J29+'SANTIAGO RDGUEZ'!J29+'VILLA GONZALEZ'!J29+MOCA!J29+'VILLA LIBERACION'!J29+BONAO!J29+GALVAN!J29+BOHECHIO!J29+PARAISO!J29+'ARROYO CANO'!J29+'POSTRER RIO'!J29+'EL YAQUE'!J29+ENRIQUILLO!J29+'HATO MAYOR'!J29+'LOTERIA NAC.'!J29+UASD!J29+HIGUEY!J29</f>
        <v>10907</v>
      </c>
      <c r="H29" s="270">
        <f>+'ADM 1'!R29+'ADM 2'!M29+'LOS MINA'!N29+'LA VILLA'!K29+'LOS ALCARRIZOS'!K29+'LAS CAOBAS'!K29+AZUA!K29+BARAHONA!K29+BAYAGUANA!K29+'BATEY 6'!K29+BOYA!K29+'BOCA CACHON'!K29+'CRISTO REY'!K29+CONSTANZA!K29+CRISTOBAL!K29+DAJABON!K29+'EL SEYBO'!K29+'ELIAS PIÑA'!K29+'LA VEGA'!K29+MAO!K29+'LA ROMANA'!K29+'MONTE PLATA'!K29+MANZANILLO!K29+MONTECRISTI!K29+NAGUA!K29+NAVARRETE!K29+OCOA!K29+NEYBA!K29+PEDERNALES!K29+PEKIN!K29+PLATANITOS!K29+QUISQUEYA!K29+'PUERTO PLATA'!K29+SAMANA!K29+'SAN CRISTOBAL'!K29+'SAN FCO'!K29+'SAN JUAN'!K29+'SAN PEDRO'!K29+'SANTIAGO RDGUEZ'!K29+'VILLA GONZALEZ'!K29+MOCA!K29+'VILLA LIBERACION'!K29+BONAO!K29+GALVAN!K29+BOHECHIO!K29+PARAISO!K29+'ARROYO CANO'!K29+'POSTRER RIO'!K29+'EL YAQUE'!K29+ENRIQUILLO!K29+'HATO MAYOR'!K29+'LOTERIA NAC.'!K29+UASD!K29+HIGUEY!K29</f>
        <v>2600</v>
      </c>
      <c r="I29" s="270">
        <f>+'ADM 1'!S29+'ADM 2'!N29+'LOS MINA'!O29+'LA VILLA'!L29+'LOS ALCARRIZOS'!L29+'LAS CAOBAS'!L29+AZUA!L29+BARAHONA!L29+BAYAGUANA!L29+'BATEY 6'!L29+BOYA!L29+'BOCA CACHON'!L29+'CRISTO REY'!L29+CONSTANZA!L29+CRISTOBAL!L29+DAJABON!L29+'EL SEYBO'!L29+'ELIAS PIÑA'!L29+'LA VEGA'!L29+MAO!L29+'LA ROMANA'!L29+'MONTE PLATA'!L29+MANZANILLO!L29+MONTECRISTI!L29+NAGUA!L29+NAVARRETE!L29+OCOA!L29+NEYBA!L29+PEDERNALES!L29+PEKIN!L29+PLATANITOS!L29+QUISQUEYA!L29+'PUERTO PLATA'!L29+SAMANA!L29+'SAN CRISTOBAL'!L29+'SAN FCO'!L29+'SAN JUAN'!L29+'SAN PEDRO'!L29+'SANTIAGO RDGUEZ'!L29+'VILLA GONZALEZ'!L29+MOCA!L29+'VILLA LIBERACION'!L29+BONAO!L29+GALVAN!L29+BOHECHIO!L29+PARAISO!L29+'ARROYO CANO'!L29+'POSTRER RIO'!L29+'EL YAQUE'!L29+ENRIQUILLO!L29+'HATO MAYOR'!L29+'LOTERIA NAC.'!L29+UASD!L29+HIGUEY!L29</f>
        <v>82753</v>
      </c>
      <c r="J29" s="270">
        <f>+'ADM 1'!T29+'ADM 2'!O29+'LOS MINA'!P29+'LA VILLA'!M29+'LOS ALCARRIZOS'!M29+'LAS CAOBAS'!M29+AZUA!M29+BARAHONA!M29+BAYAGUANA!M29+'BATEY 6'!M29+BOYA!M29+'BOCA CACHON'!M29+'CRISTO REY'!M29+CONSTANZA!M29+CRISTOBAL!M29+DAJABON!M29+'EL SEYBO'!M29+'ELIAS PIÑA'!M29+'LA VEGA'!M29+MAO!M29+'LA ROMANA'!M29+'MONTE PLATA'!M29+MANZANILLO!M29+MONTECRISTI!M29+NAGUA!M29+NAVARRETE!M29+OCOA!M29+NEYBA!M29+PEDERNALES!M29+PEKIN!M29+PLATANITOS!M29+QUISQUEYA!M29+'PUERTO PLATA'!M29+SAMANA!M29+'SAN CRISTOBAL'!M29+'SAN FCO'!M29+'SAN JUAN'!M29+'SAN PEDRO'!M29+'SANTIAGO RDGUEZ'!M29+'VILLA GONZALEZ'!M29+MOCA!M29+'VILLA LIBERACION'!M29+BONAO!M29+GALVAN!M29+BOHECHIO!M29+PARAISO!M29+'ARROYO CANO'!M29+'POSTRER RIO'!M29+'EL YAQUE'!M29+ENRIQUILLO!M29+'HATO MAYOR'!M29+'LOTERIA NAC.'!M29+UASD!M29+HIGUEY!M29</f>
        <v>3519</v>
      </c>
      <c r="K29" s="256">
        <f t="shared" si="1"/>
        <v>88872</v>
      </c>
      <c r="L29" s="269">
        <f>+'ADM 1'!V29+'ADM 2'!Q29+'LA VILLA'!O29+'LOS ALCARRIZOS'!O29+'LOS MINA'!R29+'LAS CAOBAS'!O29+AZUA!O29+BARAHONA!O29+BAYAGUANA!O29+'BATEY 6'!O29+BOYA!O29+'BOCA CACHON'!O29+'CRISTO REY'!O40+CONSTANZA!O29+CRISTOBAL!O29+DAJABON!O29+'EL SEYBO'!O29+'ELIAS PIÑA'!O29+'LA VEGA'!O29+MAO!O29+'LA ROMANA'!O29+'MONTE PLATA'!O29+MANZANILLO!O29+MONTECRISTI!O29+NAGUA!O29+NAVARRETE!O29+OCOA!O29+NEYBA!O29+PEDERNALES!O29+PEKIN!O29+PLATANITOS!O29+QUISQUEYA!O29+'PUERTO PLATA'!O29+SAMANA!O29+'SAN CRISTOBAL'!O29+'SAN FCO'!O29+'SAN JUAN'!O29+'SAN PEDRO'!O29+'SANTIAGO RDGUEZ'!O29+'VILLA GONZALEZ'!O29+MOCA!O29+'VILLA LIBERACION'!O29+BONAO!O29+GALVAN!O29+BOHECHIO!O30+PARAISO!O29+'ARROYO CANO'!O29+'POSTRER RIO'!O29+'EL YAQUE'!O29+ENRIQUILLO!O29+'HATO MAYOR'!O29+'LOTERIA NAC.'!O29+UASD!O29+HIGUEY!O29</f>
        <v>0</v>
      </c>
      <c r="M29" s="269">
        <f>+'ADM 1'!W29+'ADM 2'!R29+'LA VILLA'!P29+'LOS ALCARRIZOS'!P29+'LOS MINA'!S29+'LAS CAOBAS'!P29+AZUA!P29+BARAHONA!P29+BAYAGUANA!P29+'BATEY 6'!P29+BOYA!P29+'BOCA CACHON'!P29+'CRISTO REY'!P40+CONSTANZA!P29+CRISTOBAL!P29+DAJABON!P29+'EL SEYBO'!P29+'ELIAS PIÑA'!P29+'LA VEGA'!P29+MAO!P29+'LA ROMANA'!P29+'MONTE PLATA'!P29+MANZANILLO!P29+MONTECRISTI!P29+NAGUA!P29+NAVARRETE!P29+OCOA!P29+NEYBA!P29+PEDERNALES!P29+PEKIN!P29+PLATANITOS!P29+QUISQUEYA!P29+'PUERTO PLATA'!P29+SAMANA!P29+'SAN CRISTOBAL'!P29+'SAN FCO'!P29+'SAN JUAN'!P29+'SAN PEDRO'!P29+'SANTIAGO RDGUEZ'!P29+'VILLA GONZALEZ'!P29+MOCA!P29+'VILLA LIBERACION'!P29+BONAO!P29+GALVAN!P29+BOHECHIO!P30+PARAISO!P29+'ARROYO CANO'!P29+'POSTRER RIO'!P29+'EL YAQUE'!P29+ENRIQUILLO!P29+'HATO MAYOR'!P29+'LOTERIA NAC.'!P29+UASD!P29+HIGUEY!P29</f>
        <v>0</v>
      </c>
      <c r="N29" s="187">
        <f t="shared" si="2"/>
        <v>88872</v>
      </c>
      <c r="O29" s="183">
        <f t="shared" si="3"/>
        <v>99794</v>
      </c>
      <c r="S29" s="70"/>
      <c r="T29" s="3"/>
      <c r="U29" s="3"/>
      <c r="V29" s="70">
        <f t="shared" si="4"/>
        <v>0</v>
      </c>
    </row>
    <row r="30" spans="3:22" ht="15" customHeight="1" x14ac:dyDescent="0.3">
      <c r="C30" s="26">
        <v>15</v>
      </c>
      <c r="D30" s="264">
        <f>+'ADM 1'!D30+'ADM 2'!D30+'LA VILLA'!D30+'LOS ALCARRIZOS'!D30+'LOS MINA'!D30+'LAS CAOBAS'!D30+AZUA!D30+BARAHONA!D30+BAYAGUANA!D30+'BATEY 6'!D30+BOYA!D30+'BOCA CACHON'!D30+'CRISTO REY'!D41+CONSTANZA!D30+CRISTOBAL!D30+DAJABON!D30+'EL SEYBO'!D30+'ELIAS PIÑA'!D30+'LA VEGA'!D30+MAO!D30+'LA ROMANA'!D30+'MONTE PLATA'!D30+MANZANILLO!D30+MONTECRISTI!D30+NAGUA!D30+NAVARRETE!D30+OCOA!D30+NEYBA!D30+PEDERNALES!D30+PEKIN!D30+PLATANITOS!D30+QUISQUEYA!D30+'PUERTO PLATA'!D30+SAMANA!D30+'SAN CRISTOBAL'!D30+'SAN FCO'!D30+'SAN JUAN'!D30+'SAN PEDRO'!D30+'SANTIAGO RDGUEZ'!D30+'VILLA GONZALEZ'!D30+MOCA!D30+'VILLA LIBERACION'!D30+BONAO!D30+GALVAN!D30+BOHECHIO!D30+PARAISO!D30+'ARROYO CANO'!D30+'POSTRER RIO'!D30+'EL YAQUE'!D30+ENRIQUILLO!D30+'HATO MAYOR'!D30+'LOTERIA NAC.'!D30+UASD!D30+HIGUEY!D30</f>
        <v>19</v>
      </c>
      <c r="E30" s="264">
        <f>+'ADM 1'!E30+'ADM 2'!E30+'LA VILLA'!E30+'LOS ALCARRIZOS'!E30+'LOS MINA'!E30+'LAS CAOBAS'!E30+AZUA!E30+BARAHONA!E30+BAYAGUANA!E30+'BATEY 6'!E30+BOYA!E30+'BOCA CACHON'!E30+'CRISTO REY'!E41+CONSTANZA!E30+CRISTOBAL!E30+DAJABON!E30+'EL SEYBO'!E30+'ELIAS PIÑA'!E30+'LA VEGA'!E30+MAO!E30+'LA ROMANA'!E30+'MONTE PLATA'!E30+MANZANILLO!E30+MONTECRISTI!E30+NAGUA!E30+NAVARRETE!E30+OCOA!E30+NEYBA!E30+PEDERNALES!E30+PEKIN!E30+PLATANITOS!E30+QUISQUEYA!E30+'PUERTO PLATA'!E30+SAMANA!E30+'SAN CRISTOBAL'!E30+'SAN FCO'!E30+'SAN JUAN'!E30+'SAN PEDRO'!E30+'SANTIAGO RDGUEZ'!E30+'VILLA GONZALEZ'!E30+MOCA!E30+'VILLA LIBERACION'!E30+BONAO!E30+GALVAN!E30+BOHECHIO!E30+PARAISO!E30+'ARROYO CANO'!E30+'POSTRER RIO'!E30+'EL YAQUE'!E30+ENRIQUILLO!E30+'HATO MAYOR'!E30+'LOTERIA NAC.'!E30+UASD!E30+HIGUEY!E30</f>
        <v>0</v>
      </c>
      <c r="F30" s="318">
        <f t="shared" si="0"/>
        <v>19</v>
      </c>
      <c r="G30" s="266">
        <f>+'ADM 1'!Q30+'ADM 2'!L30+'LOS MINA'!M30+'LA VILLA'!J30+'LOS ALCARRIZOS'!J30+'LAS CAOBAS'!J30+AZUA!J30+BARAHONA!J30+BAYAGUANA!J30+'BATEY 6'!J30+BOYA!J30+'BOCA CACHON'!J30+'CRISTO REY'!J30+CONSTANZA!J30+CRISTOBAL!J30+DAJABON!J30+'EL SEYBO'!J30+'ELIAS PIÑA'!J30+'LA VEGA'!J30+MAO!J30+'LA ROMANA'!J30+'MONTE PLATA'!J30+MANZANILLO!J30+MONTECRISTI!J30+NAGUA!J30+NAVARRETE!J30+OCOA!J30+NEYBA!J30+PEDERNALES!J30+PEKIN!J30+PLATANITOS!J30+QUISQUEYA!J30+'PUERTO PLATA'!J30+SAMANA!J30+'SAN CRISTOBAL'!J30+'SAN FCO'!J30+'SAN JUAN'!J30+'SAN PEDRO'!J30+'SANTIAGO RDGUEZ'!J30+'VILLA GONZALEZ'!J30+MOCA!J30+'VILLA LIBERACION'!J30+BONAO!J30+GALVAN!J30+BOHECHIO!J30+PARAISO!J30+'ARROYO CANO'!J30+'POSTRER RIO'!J30+'EL YAQUE'!J30+ENRIQUILLO!J30+'HATO MAYOR'!J30+'LOTERIA NAC.'!J30+UASD!J30+HIGUEY!J30</f>
        <v>10929</v>
      </c>
      <c r="H30" s="270">
        <f>+'ADM 1'!R30+'ADM 2'!M30+'LOS MINA'!N30+'LA VILLA'!K30+'LOS ALCARRIZOS'!K30+'LAS CAOBAS'!K30+AZUA!K30+BARAHONA!K30+BAYAGUANA!K30+'BATEY 6'!K30+BOYA!K30+'BOCA CACHON'!K30+'CRISTO REY'!K30+CONSTANZA!K30+CRISTOBAL!K30+DAJABON!K30+'EL SEYBO'!K30+'ELIAS PIÑA'!K30+'LA VEGA'!K30+MAO!K30+'LA ROMANA'!K30+'MONTE PLATA'!K30+MANZANILLO!K30+MONTECRISTI!K30+NAGUA!K30+NAVARRETE!K30+OCOA!K30+NEYBA!K30+PEDERNALES!K30+PEKIN!K30+PLATANITOS!K30+QUISQUEYA!K30+'PUERTO PLATA'!K30+SAMANA!K30+'SAN CRISTOBAL'!K30+'SAN FCO'!K30+'SAN JUAN'!K30+'SAN PEDRO'!K30+'SANTIAGO RDGUEZ'!K30+'VILLA GONZALEZ'!K30+MOCA!K30+'VILLA LIBERACION'!K30+BONAO!K30+GALVAN!K30+BOHECHIO!K30+PARAISO!K30+'ARROYO CANO'!K30+'POSTRER RIO'!K30+'EL YAQUE'!K30+ENRIQUILLO!K30+'HATO MAYOR'!K30+'LOTERIA NAC.'!K30+UASD!K30+HIGUEY!K30</f>
        <v>2397</v>
      </c>
      <c r="I30" s="270">
        <f>+'ADM 1'!S30+'ADM 2'!N30+'LOS MINA'!O30+'LA VILLA'!L30+'LOS ALCARRIZOS'!L30+'LAS CAOBAS'!L30+AZUA!L30+BARAHONA!L30+BAYAGUANA!L30+'BATEY 6'!L30+BOYA!L30+'BOCA CACHON'!L30+'CRISTO REY'!L30+CONSTANZA!L30+CRISTOBAL!L30+DAJABON!L30+'EL SEYBO'!L30+'ELIAS PIÑA'!L30+'LA VEGA'!L30+MAO!L30+'LA ROMANA'!L30+'MONTE PLATA'!L30+MANZANILLO!L30+MONTECRISTI!L30+NAGUA!L30+NAVARRETE!L30+OCOA!L30+NEYBA!L30+PEDERNALES!L30+PEKIN!L30+PLATANITOS!L30+QUISQUEYA!L30+'PUERTO PLATA'!L30+SAMANA!L30+'SAN CRISTOBAL'!L30+'SAN FCO'!L30+'SAN JUAN'!L30+'SAN PEDRO'!L30+'SANTIAGO RDGUEZ'!L30+'VILLA GONZALEZ'!L30+MOCA!L30+'VILLA LIBERACION'!L30+BONAO!L30+GALVAN!L30+BOHECHIO!L30+PARAISO!L30+'ARROYO CANO'!L30+'POSTRER RIO'!L30+'EL YAQUE'!L30+ENRIQUILLO!L30+'HATO MAYOR'!L30+'LOTERIA NAC.'!L30+UASD!L30+HIGUEY!L30</f>
        <v>75093</v>
      </c>
      <c r="J30" s="270">
        <f>+'ADM 1'!T30+'ADM 2'!O30+'LOS MINA'!P30+'LA VILLA'!M30+'LOS ALCARRIZOS'!M30+'LAS CAOBAS'!M30+AZUA!M30+BARAHONA!M30+BAYAGUANA!M30+'BATEY 6'!M30+BOYA!M30+'BOCA CACHON'!M30+'CRISTO REY'!M30+CONSTANZA!M30+CRISTOBAL!M30+DAJABON!M30+'EL SEYBO'!M30+'ELIAS PIÑA'!M30+'LA VEGA'!M30+MAO!M30+'LA ROMANA'!M30+'MONTE PLATA'!M30+MANZANILLO!M30+MONTECRISTI!M30+NAGUA!M30+NAVARRETE!M30+OCOA!M30+NEYBA!M30+PEDERNALES!M30+PEKIN!M30+PLATANITOS!M30+QUISQUEYA!M30+'PUERTO PLATA'!M30+SAMANA!M30+'SAN CRISTOBAL'!M30+'SAN FCO'!M30+'SAN JUAN'!M30+'SAN PEDRO'!M30+'SANTIAGO RDGUEZ'!M30+'VILLA GONZALEZ'!M30+MOCA!M30+'VILLA LIBERACION'!M30+BONAO!M30+GALVAN!M30+BOHECHIO!M30+PARAISO!M30+'ARROYO CANO'!M30+'POSTRER RIO'!M30+'EL YAQUE'!M30+ENRIQUILLO!M30+'HATO MAYOR'!M30+'LOTERIA NAC.'!M30+UASD!M30+HIGUEY!M30</f>
        <v>7089</v>
      </c>
      <c r="K30" s="256">
        <f t="shared" si="1"/>
        <v>84579</v>
      </c>
      <c r="L30" s="269">
        <f>+'ADM 1'!V30+'ADM 2'!Q30+'LA VILLA'!O30+'LOS ALCARRIZOS'!O30+'LOS MINA'!R30+'LAS CAOBAS'!O30+AZUA!O30+BARAHONA!O30+BAYAGUANA!O30+'BATEY 6'!O30+BOYA!O30+'BOCA CACHON'!O30+'CRISTO REY'!O41+CONSTANZA!O30+CRISTOBAL!O30+DAJABON!O30+'EL SEYBO'!O30+'ELIAS PIÑA'!O30+'LA VEGA'!O30+MAO!O30+'LA ROMANA'!O30+'MONTE PLATA'!O30+MANZANILLO!O30+MONTECRISTI!O30+NAGUA!O30+NAVARRETE!O30+OCOA!O30+NEYBA!O30+PEDERNALES!O30+PEKIN!O30+PLATANITOS!O30+QUISQUEYA!O30+'PUERTO PLATA'!O30+SAMANA!O30+'SAN CRISTOBAL'!O30+'SAN FCO'!O30+'SAN JUAN'!O30+'SAN PEDRO'!O30+'SANTIAGO RDGUEZ'!O30+'VILLA GONZALEZ'!O30+MOCA!O30+'VILLA LIBERACION'!O30+BONAO!O30+GALVAN!O30+BOHECHIO!O31+PARAISO!O30+'ARROYO CANO'!O30+'POSTRER RIO'!O30+'EL YAQUE'!O30+ENRIQUILLO!O30+'HATO MAYOR'!O30+'LOTERIA NAC.'!O30+UASD!O30+HIGUEY!O30</f>
        <v>0</v>
      </c>
      <c r="M30" s="269">
        <f>+'ADM 1'!W30+'ADM 2'!R30+'LA VILLA'!P30+'LOS ALCARRIZOS'!P30+'LOS MINA'!S30+'LAS CAOBAS'!P30+AZUA!P30+BARAHONA!P30+BAYAGUANA!P30+'BATEY 6'!P30+BOYA!P30+'BOCA CACHON'!P30+'CRISTO REY'!P41+CONSTANZA!P30+CRISTOBAL!P30+DAJABON!P30+'EL SEYBO'!P30+'ELIAS PIÑA'!P30+'LA VEGA'!P30+MAO!P30+'LA ROMANA'!P30+'MONTE PLATA'!P30+MANZANILLO!P30+MONTECRISTI!P30+NAGUA!P30+NAVARRETE!P30+OCOA!P30+NEYBA!P30+PEDERNALES!P30+PEKIN!P30+PLATANITOS!P30+QUISQUEYA!P30+'PUERTO PLATA'!P30+SAMANA!P30+'SAN CRISTOBAL'!P30+'SAN FCO'!P30+'SAN JUAN'!P30+'SAN PEDRO'!P30+'SANTIAGO RDGUEZ'!P30+'VILLA GONZALEZ'!P30+MOCA!P30+'VILLA LIBERACION'!P30+BONAO!P30+GALVAN!P30+BOHECHIO!P31+PARAISO!P30+'ARROYO CANO'!P30+'POSTRER RIO'!P30+'EL YAQUE'!P30+ENRIQUILLO!P30+'HATO MAYOR'!P30+'LOTERIA NAC.'!P30+UASD!P30+HIGUEY!P30</f>
        <v>0</v>
      </c>
      <c r="N30" s="187">
        <f t="shared" si="2"/>
        <v>84579</v>
      </c>
      <c r="O30" s="183">
        <f t="shared" si="3"/>
        <v>95527</v>
      </c>
      <c r="S30" s="70"/>
      <c r="T30" s="3"/>
      <c r="U30" s="3"/>
      <c r="V30" s="70">
        <f t="shared" si="4"/>
        <v>0</v>
      </c>
    </row>
    <row r="31" spans="3:22" ht="15" customHeight="1" x14ac:dyDescent="0.3">
      <c r="C31" s="26">
        <v>16</v>
      </c>
      <c r="D31" s="264">
        <f>+'ADM 1'!D31+'ADM 2'!D31+'LA VILLA'!D31+'LOS ALCARRIZOS'!D31+'LOS MINA'!D31+'LAS CAOBAS'!D31+AZUA!D31+BARAHONA!D31+BAYAGUANA!D31+'BATEY 6'!D31+BOYA!D31+'BOCA CACHON'!D31+'CRISTO REY'!D42+CONSTANZA!D31+CRISTOBAL!D31+DAJABON!D31+'EL SEYBO'!D31+'ELIAS PIÑA'!D31+'LA VEGA'!D31+MAO!D31+'LA ROMANA'!D31+'MONTE PLATA'!D31+MANZANILLO!D31+MONTECRISTI!D31+NAGUA!D31+NAVARRETE!D31+OCOA!D31+NEYBA!D31+PEDERNALES!D31+PEKIN!D31+PLATANITOS!D31+QUISQUEYA!D31+'PUERTO PLATA'!D31+SAMANA!D31+'SAN CRISTOBAL'!D31+'SAN FCO'!D31+'SAN JUAN'!D31+'SAN PEDRO'!D31+'SANTIAGO RDGUEZ'!D31+'VILLA GONZALEZ'!D31+MOCA!D31+'VILLA LIBERACION'!D31+BONAO!D31+GALVAN!D31+BOHECHIO!D31+PARAISO!D31+'ARROYO CANO'!D31+'POSTRER RIO'!D31+'EL YAQUE'!D31+ENRIQUILLO!D31+'HATO MAYOR'!D31+'LOTERIA NAC.'!D31+UASD!D31+HIGUEY!D31</f>
        <v>15</v>
      </c>
      <c r="E31" s="264">
        <f>+'ADM 1'!E31+'ADM 2'!E31+'LA VILLA'!E31+'LOS ALCARRIZOS'!E31+'LOS MINA'!E31+'LAS CAOBAS'!E31+AZUA!E31+BARAHONA!E31+BAYAGUANA!E31+'BATEY 6'!E31+BOYA!E31+'BOCA CACHON'!E31+'CRISTO REY'!E42+CONSTANZA!E31+CRISTOBAL!E31+DAJABON!E31+'EL SEYBO'!E31+'ELIAS PIÑA'!E31+'LA VEGA'!E31+MAO!E31+'LA ROMANA'!E31+'MONTE PLATA'!E31+MANZANILLO!E31+MONTECRISTI!E31+NAGUA!E31+NAVARRETE!E31+OCOA!E31+NEYBA!E31+PEDERNALES!E31+PEKIN!E31+PLATANITOS!E31+QUISQUEYA!E31+'PUERTO PLATA'!E31+SAMANA!E31+'SAN CRISTOBAL'!E31+'SAN FCO'!E31+'SAN JUAN'!E31+'SAN PEDRO'!E31+'SANTIAGO RDGUEZ'!E31+'VILLA GONZALEZ'!E31+MOCA!E31+'VILLA LIBERACION'!E31+BONAO!E31+GALVAN!E31+BOHECHIO!E31+PARAISO!E31+'ARROYO CANO'!E31+'POSTRER RIO'!E31+'EL YAQUE'!E31+ENRIQUILLO!E31+'HATO MAYOR'!E31+'LOTERIA NAC.'!E31+UASD!E31+HIGUEY!E31</f>
        <v>0</v>
      </c>
      <c r="F31" s="318">
        <f t="shared" si="0"/>
        <v>15</v>
      </c>
      <c r="G31" s="266">
        <f>+'ADM 1'!Q31+'ADM 2'!L31+'LOS MINA'!M31+'LA VILLA'!J31+'LOS ALCARRIZOS'!J31+'LAS CAOBAS'!J31+AZUA!J31+BARAHONA!J31+BAYAGUANA!J31+'BATEY 6'!J31+BOYA!J31+'BOCA CACHON'!J31+'CRISTO REY'!J31+CONSTANZA!J31+CRISTOBAL!J31+DAJABON!J31+'EL SEYBO'!J31+'ELIAS PIÑA'!J31+'LA VEGA'!J31+MAO!J31+'LA ROMANA'!J31+'MONTE PLATA'!J31+MANZANILLO!J31+MONTECRISTI!J31+NAGUA!J31+NAVARRETE!J31+OCOA!J31+NEYBA!J31+PEDERNALES!J31+PEKIN!J31+PLATANITOS!J31+QUISQUEYA!J31+'PUERTO PLATA'!J31+SAMANA!J31+'SAN CRISTOBAL'!J31+'SAN FCO'!J31+'SAN JUAN'!J31+'SAN PEDRO'!J31+'SANTIAGO RDGUEZ'!J31+'VILLA GONZALEZ'!J31+MOCA!J31+'VILLA LIBERACION'!J31+BONAO!J31+GALVAN!J31+BOHECHIO!J31+PARAISO!J31+'ARROYO CANO'!J31+'POSTRER RIO'!J31+'EL YAQUE'!J31+ENRIQUILLO!J31+'HATO MAYOR'!J31+'LOTERIA NAC.'!J31+UASD!J31+HIGUEY!J31</f>
        <v>10090</v>
      </c>
      <c r="H31" s="270">
        <f>+'ADM 1'!R31+'ADM 2'!M31+'LOS MINA'!N31+'LA VILLA'!K31+'LOS ALCARRIZOS'!K31+'LAS CAOBAS'!K31+AZUA!K31+BARAHONA!K31+BAYAGUANA!K31+'BATEY 6'!K31+BOYA!K31+'BOCA CACHON'!K31+'CRISTO REY'!K31+CONSTANZA!K31+CRISTOBAL!K31+DAJABON!K31+'EL SEYBO'!K31+'ELIAS PIÑA'!K31+'LA VEGA'!K31+MAO!K31+'LA ROMANA'!K31+'MONTE PLATA'!K31+MANZANILLO!K31+MONTECRISTI!K31+NAGUA!K31+NAVARRETE!K31+OCOA!K31+NEYBA!K31+PEDERNALES!K31+PEKIN!K31+PLATANITOS!K31+QUISQUEYA!K31+'PUERTO PLATA'!K31+SAMANA!K31+'SAN CRISTOBAL'!K31+'SAN FCO'!K31+'SAN JUAN'!K31+'SAN PEDRO'!K31+'SANTIAGO RDGUEZ'!K31+'VILLA GONZALEZ'!K31+MOCA!K31+'VILLA LIBERACION'!K31+BONAO!K31+GALVAN!K31+BOHECHIO!K31+PARAISO!K31+'ARROYO CANO'!K31+'POSTRER RIO'!K31+'EL YAQUE'!K31+ENRIQUILLO!K31+'HATO MAYOR'!K31+'LOTERIA NAC.'!K31+UASD!K31+HIGUEY!K31</f>
        <v>2476</v>
      </c>
      <c r="I31" s="270">
        <f>+'ADM 1'!S31+'ADM 2'!N31+'LOS MINA'!O31+'LA VILLA'!L31+'LOS ALCARRIZOS'!L31+'LAS CAOBAS'!L31+AZUA!L31+BARAHONA!L31+BAYAGUANA!L31+'BATEY 6'!L31+BOYA!L31+'BOCA CACHON'!L31+'CRISTO REY'!L31+CONSTANZA!L31+CRISTOBAL!L31+DAJABON!L31+'EL SEYBO'!L31+'ELIAS PIÑA'!L31+'LA VEGA'!L31+MAO!L31+'LA ROMANA'!L31+'MONTE PLATA'!L31+MANZANILLO!L31+MONTECRISTI!L31+NAGUA!L31+NAVARRETE!L31+OCOA!L31+NEYBA!L31+PEDERNALES!L31+PEKIN!L31+PLATANITOS!L31+QUISQUEYA!L31+'PUERTO PLATA'!L31+SAMANA!L31+'SAN CRISTOBAL'!L31+'SAN FCO'!L31+'SAN JUAN'!L31+'SAN PEDRO'!L31+'SANTIAGO RDGUEZ'!L31+'VILLA GONZALEZ'!L31+MOCA!L31+'VILLA LIBERACION'!L31+BONAO!L31+GALVAN!L31+BOHECHIO!L31+PARAISO!L31+'ARROYO CANO'!L31+'POSTRER RIO'!L31+'EL YAQUE'!L31+ENRIQUILLO!L31+'HATO MAYOR'!L31+'LOTERIA NAC.'!L31+UASD!L31+HIGUEY!L31</f>
        <v>79529</v>
      </c>
      <c r="J31" s="270">
        <f>+'ADM 1'!T31+'ADM 2'!O31+'LOS MINA'!P31+'LA VILLA'!M31+'LOS ALCARRIZOS'!M31+'LAS CAOBAS'!M31+AZUA!M31+BARAHONA!M31+BAYAGUANA!M31+'BATEY 6'!M31+BOYA!M31+'BOCA CACHON'!M31+'CRISTO REY'!M31+CONSTANZA!M31+CRISTOBAL!M31+DAJABON!M31+'EL SEYBO'!M31+'ELIAS PIÑA'!M31+'LA VEGA'!M31+MAO!M31+'LA ROMANA'!M31+'MONTE PLATA'!M31+MANZANILLO!M31+MONTECRISTI!M31+NAGUA!M31+NAVARRETE!M31+OCOA!M31+NEYBA!M31+PEDERNALES!M31+PEKIN!M31+PLATANITOS!M31+QUISQUEYA!M31+'PUERTO PLATA'!M31+SAMANA!M31+'SAN CRISTOBAL'!M31+'SAN FCO'!M31+'SAN JUAN'!M31+'SAN PEDRO'!M31+'SANTIAGO RDGUEZ'!M31+'VILLA GONZALEZ'!M31+MOCA!M31+'VILLA LIBERACION'!M31+BONAO!M31+GALVAN!M31+BOHECHIO!M31+PARAISO!M31+'ARROYO CANO'!M31+'POSTRER RIO'!M31+'EL YAQUE'!M31+ENRIQUILLO!M31+'HATO MAYOR'!M31+'LOTERIA NAC.'!M31+UASD!M31+HIGUEY!M31</f>
        <v>3714</v>
      </c>
      <c r="K31" s="256">
        <f t="shared" si="1"/>
        <v>85719</v>
      </c>
      <c r="L31" s="269">
        <f>+'ADM 1'!V31+'ADM 2'!Q31+'LA VILLA'!O31+'LOS ALCARRIZOS'!O31+'LOS MINA'!R31+'LAS CAOBAS'!O31+AZUA!O31+BARAHONA!O31+BAYAGUANA!O31+'BATEY 6'!O31+BOYA!O31+'BOCA CACHON'!O31+'CRISTO REY'!O42+CONSTANZA!O31+CRISTOBAL!O31+DAJABON!O31+'EL SEYBO'!O31+'ELIAS PIÑA'!O31+'LA VEGA'!O31+MAO!O31+'LA ROMANA'!O31+'MONTE PLATA'!O31+MANZANILLO!O31+MONTECRISTI!O31+NAGUA!O31+NAVARRETE!O31+OCOA!O31+NEYBA!O31+PEDERNALES!O31+PEKIN!O31+PLATANITOS!O31+QUISQUEYA!O31+'PUERTO PLATA'!O31+SAMANA!O31+'SAN CRISTOBAL'!O31+'SAN FCO'!O31+'SAN JUAN'!O31+'SAN PEDRO'!O31+'SANTIAGO RDGUEZ'!O31+'VILLA GONZALEZ'!O31+MOCA!O31+'VILLA LIBERACION'!O31+BONAO!O31+GALVAN!O31+BOHECHIO!O32+PARAISO!O31+'ARROYO CANO'!O31+'POSTRER RIO'!O31+'EL YAQUE'!O31+ENRIQUILLO!O31+'HATO MAYOR'!O31+'LOTERIA NAC.'!O31+UASD!O31+HIGUEY!O31</f>
        <v>0</v>
      </c>
      <c r="M31" s="269">
        <f>+'ADM 1'!W31+'ADM 2'!R31+'LA VILLA'!P31+'LOS ALCARRIZOS'!P31+'LOS MINA'!S31+'LAS CAOBAS'!P31+AZUA!P31+BARAHONA!P31+BAYAGUANA!P31+'BATEY 6'!P31+BOYA!P31+'BOCA CACHON'!P31+'CRISTO REY'!P42+CONSTANZA!P31+CRISTOBAL!P31+DAJABON!P31+'EL SEYBO'!P31+'ELIAS PIÑA'!P31+'LA VEGA'!P31+MAO!P31+'LA ROMANA'!P31+'MONTE PLATA'!P31+MANZANILLO!P31+MONTECRISTI!P31+NAGUA!P31+NAVARRETE!P31+OCOA!P31+NEYBA!P31+PEDERNALES!P31+PEKIN!P31+PLATANITOS!P31+QUISQUEYA!P31+'PUERTO PLATA'!P31+SAMANA!P31+'SAN CRISTOBAL'!P31+'SAN FCO'!P31+'SAN JUAN'!P31+'SAN PEDRO'!P31+'SANTIAGO RDGUEZ'!P31+'VILLA GONZALEZ'!P31+MOCA!P31+'VILLA LIBERACION'!P31+BONAO!P31+GALVAN!P31+BOHECHIO!P32+PARAISO!P31+'ARROYO CANO'!P31+'POSTRER RIO'!P31+'EL YAQUE'!P31+ENRIQUILLO!P31+'HATO MAYOR'!P31+'LOTERIA NAC.'!P31+UASD!P31+HIGUEY!P31</f>
        <v>0</v>
      </c>
      <c r="N31" s="187">
        <f t="shared" si="2"/>
        <v>85719</v>
      </c>
      <c r="O31" s="183">
        <f t="shared" si="3"/>
        <v>95824</v>
      </c>
      <c r="S31" s="70"/>
      <c r="T31" s="3"/>
      <c r="U31" s="3"/>
      <c r="V31" s="70">
        <f t="shared" si="4"/>
        <v>0</v>
      </c>
    </row>
    <row r="32" spans="3:22" ht="15" customHeight="1" x14ac:dyDescent="0.3">
      <c r="C32" s="26">
        <v>17</v>
      </c>
      <c r="D32" s="264">
        <f>+'ADM 1'!D32+'ADM 2'!D32+'LA VILLA'!D32+'LOS ALCARRIZOS'!D32+'LOS MINA'!D32+'LAS CAOBAS'!D32+AZUA!D32+BARAHONA!D32+BAYAGUANA!D32+'BATEY 6'!D32+BOYA!D32+'BOCA CACHON'!D32+'CRISTO REY'!D43+CONSTANZA!D32+CRISTOBAL!D32+DAJABON!D32+'EL SEYBO'!D32+'ELIAS PIÑA'!D32+'LA VEGA'!D32+MAO!D32+'LA ROMANA'!D32+'MONTE PLATA'!D32+MANZANILLO!D32+MONTECRISTI!D32+NAGUA!D32+NAVARRETE!D32+OCOA!D32+NEYBA!D32+PEDERNALES!D32+PEKIN!D32+PLATANITOS!D32+QUISQUEYA!D32+'PUERTO PLATA'!D32+SAMANA!D32+'SAN CRISTOBAL'!D32+'SAN FCO'!D32+'SAN JUAN'!D32+'SAN PEDRO'!D32+'SANTIAGO RDGUEZ'!D32+'VILLA GONZALEZ'!D32+MOCA!D32+'VILLA LIBERACION'!D32+BONAO!D32+GALVAN!D32+BOHECHIO!D32+PARAISO!D32+'ARROYO CANO'!D32+'POSTRER RIO'!D32+'EL YAQUE'!D32+ENRIQUILLO!D32+'HATO MAYOR'!D32+'LOTERIA NAC.'!D32+UASD!D32+HIGUEY!D32</f>
        <v>0</v>
      </c>
      <c r="E32" s="264">
        <f>+'ADM 1'!E32+'ADM 2'!E32+'LA VILLA'!E32+'LOS ALCARRIZOS'!E32+'LOS MINA'!E32+'LAS CAOBAS'!E32+AZUA!E32+BARAHONA!E32+BAYAGUANA!E32+'BATEY 6'!E32+BOYA!E32+'BOCA CACHON'!E32+'CRISTO REY'!E43+CONSTANZA!E32+CRISTOBAL!E32+DAJABON!E32+'EL SEYBO'!E32+'ELIAS PIÑA'!E32+'LA VEGA'!E32+MAO!E32+'LA ROMANA'!E32+'MONTE PLATA'!E32+MANZANILLO!E32+MONTECRISTI!E32+NAGUA!E32+NAVARRETE!E32+OCOA!E32+NEYBA!E32+PEDERNALES!E32+PEKIN!E32+PLATANITOS!E32+QUISQUEYA!E32+'PUERTO PLATA'!E32+SAMANA!E32+'SAN CRISTOBAL'!E32+'SAN FCO'!E32+'SAN JUAN'!E32+'SAN PEDRO'!E32+'SANTIAGO RDGUEZ'!E32+'VILLA GONZALEZ'!E32+MOCA!E32+'VILLA LIBERACION'!E32+BONAO!E32+GALVAN!E32+BOHECHIO!E32+PARAISO!E32+'ARROYO CANO'!E32+'POSTRER RIO'!E32+'EL YAQUE'!E32+ENRIQUILLO!E32+'HATO MAYOR'!E32+'LOTERIA NAC.'!E32+UASD!E32+HIGUEY!E32</f>
        <v>0</v>
      </c>
      <c r="F32" s="318">
        <f t="shared" si="0"/>
        <v>0</v>
      </c>
      <c r="G32" s="266">
        <f>+'ADM 1'!Q32+'ADM 2'!L32+'LOS MINA'!M32+'LA VILLA'!J32+'LOS ALCARRIZOS'!J32+'LAS CAOBAS'!J32+AZUA!J32+BARAHONA!J32+BAYAGUANA!J32+'BATEY 6'!J32+BOYA!J32+'BOCA CACHON'!J32+'CRISTO REY'!J32+CONSTANZA!J32+CRISTOBAL!J32+DAJABON!J32+'EL SEYBO'!J32+'ELIAS PIÑA'!J32+'LA VEGA'!J32+MAO!J32+'LA ROMANA'!J32+'MONTE PLATA'!J32+MANZANILLO!J32+MONTECRISTI!J32+NAGUA!J32+NAVARRETE!J32+OCOA!J32+NEYBA!J32+PEDERNALES!J32+PEKIN!J32+PLATANITOS!J32+QUISQUEYA!J32+'PUERTO PLATA'!J32+SAMANA!J32+'SAN CRISTOBAL'!J32+'SAN FCO'!J32+'SAN JUAN'!J32+'SAN PEDRO'!J32+'SANTIAGO RDGUEZ'!J32+'VILLA GONZALEZ'!J32+MOCA!J32+'VILLA LIBERACION'!J32+BONAO!J32+GALVAN!J32+BOHECHIO!J32+PARAISO!J32+'ARROYO CANO'!J32+'POSTRER RIO'!J32+'EL YAQUE'!J32+ENRIQUILLO!J32+'HATO MAYOR'!J32+'LOTERIA NAC.'!J32+UASD!J32+HIGUEY!J32</f>
        <v>8000</v>
      </c>
      <c r="H32" s="270">
        <f>+'ADM 1'!R32+'ADM 2'!M32+'LOS MINA'!N32+'LA VILLA'!K32+'LOS ALCARRIZOS'!K32+'LAS CAOBAS'!K32+AZUA!K32+BARAHONA!K32+BAYAGUANA!K32+'BATEY 6'!K32+BOYA!K32+'BOCA CACHON'!K32+'CRISTO REY'!K32+CONSTANZA!K32+CRISTOBAL!K32+DAJABON!K32+'EL SEYBO'!K32+'ELIAS PIÑA'!K32+'LA VEGA'!K32+MAO!K32+'LA ROMANA'!K32+'MONTE PLATA'!K32+MANZANILLO!K32+MONTECRISTI!K32+NAGUA!K32+NAVARRETE!K32+OCOA!K32+NEYBA!K32+PEDERNALES!K32+PEKIN!K32+PLATANITOS!K32+QUISQUEYA!K32+'PUERTO PLATA'!K32+SAMANA!K32+'SAN CRISTOBAL'!K32+'SAN FCO'!K32+'SAN JUAN'!K32+'SAN PEDRO'!K32+'SANTIAGO RDGUEZ'!K32+'VILLA GONZALEZ'!K32+MOCA!K32+'VILLA LIBERACION'!K32+BONAO!K32+GALVAN!K32+BOHECHIO!K32+PARAISO!K32+'ARROYO CANO'!K32+'POSTRER RIO'!K32+'EL YAQUE'!K32+ENRIQUILLO!K32+'HATO MAYOR'!K32+'LOTERIA NAC.'!K32+UASD!K32+HIGUEY!K32</f>
        <v>729</v>
      </c>
      <c r="I32" s="270">
        <f>+'ADM 1'!S32+'ADM 2'!N32+'LOS MINA'!O32+'LA VILLA'!L32+'LOS ALCARRIZOS'!L32+'LAS CAOBAS'!L32+AZUA!L32+BARAHONA!L32+BAYAGUANA!L32+'BATEY 6'!L32+BOYA!L32+'BOCA CACHON'!L32+'CRISTO REY'!L32+CONSTANZA!L32+CRISTOBAL!L32+DAJABON!L32+'EL SEYBO'!L32+'ELIAS PIÑA'!L32+'LA VEGA'!L32+MAO!L32+'LA ROMANA'!L32+'MONTE PLATA'!L32+MANZANILLO!L32+MONTECRISTI!L32+NAGUA!L32+NAVARRETE!L32+OCOA!L32+NEYBA!L32+PEDERNALES!L32+PEKIN!L32+PLATANITOS!L32+QUISQUEYA!L32+'PUERTO PLATA'!L32+SAMANA!L32+'SAN CRISTOBAL'!L32+'SAN FCO'!L32+'SAN JUAN'!L32+'SAN PEDRO'!L32+'SANTIAGO RDGUEZ'!L32+'VILLA GONZALEZ'!L32+MOCA!L32+'VILLA LIBERACION'!L32+BONAO!L32+GALVAN!L32+BOHECHIO!L32+PARAISO!L32+'ARROYO CANO'!L32+'POSTRER RIO'!L32+'EL YAQUE'!L32+ENRIQUILLO!L32+'HATO MAYOR'!L32+'LOTERIA NAC.'!L32+UASD!L32+HIGUEY!L32</f>
        <v>13864</v>
      </c>
      <c r="J32" s="270">
        <f>+'ADM 1'!T32+'ADM 2'!O32+'LOS MINA'!P32+'LA VILLA'!M32+'LOS ALCARRIZOS'!M32+'LAS CAOBAS'!M32+AZUA!M32+BARAHONA!M32+BAYAGUANA!M32+'BATEY 6'!M32+BOYA!M32+'BOCA CACHON'!M32+'CRISTO REY'!M32+CONSTANZA!M32+CRISTOBAL!M32+DAJABON!M32+'EL SEYBO'!M32+'ELIAS PIÑA'!M32+'LA VEGA'!M32+MAO!M32+'LA ROMANA'!M32+'MONTE PLATA'!M32+MANZANILLO!M32+MONTECRISTI!M32+NAGUA!M32+NAVARRETE!M32+OCOA!M32+NEYBA!M32+PEDERNALES!M32+PEKIN!M32+PLATANITOS!M32+QUISQUEYA!M32+'PUERTO PLATA'!M32+SAMANA!M32+'SAN CRISTOBAL'!M32+'SAN FCO'!M32+'SAN JUAN'!M32+'SAN PEDRO'!M32+'SANTIAGO RDGUEZ'!M32+'VILLA GONZALEZ'!M32+MOCA!M32+'VILLA LIBERACION'!M32+BONAO!M32+GALVAN!M32+BOHECHIO!M32+PARAISO!M32+'ARROYO CANO'!M32+'POSTRER RIO'!M32+'EL YAQUE'!M32+ENRIQUILLO!M32+'HATO MAYOR'!M32+'LOTERIA NAC.'!M32+UASD!M32+HIGUEY!M32</f>
        <v>0</v>
      </c>
      <c r="K32" s="256">
        <f t="shared" si="1"/>
        <v>14593</v>
      </c>
      <c r="L32" s="269">
        <f>+'ADM 1'!V32+'ADM 2'!Q32+'LA VILLA'!O32+'LOS ALCARRIZOS'!O32+'LOS MINA'!R32+'LAS CAOBAS'!O32+AZUA!O32+BARAHONA!O32+BAYAGUANA!O32+'BATEY 6'!O32+BOYA!O32+'BOCA CACHON'!O32+'CRISTO REY'!O43+CONSTANZA!O32+CRISTOBAL!O32+DAJABON!O32+'EL SEYBO'!O32+'ELIAS PIÑA'!O32+'LA VEGA'!O32+MAO!O32+'LA ROMANA'!O32+'MONTE PLATA'!O32+MANZANILLO!O32+MONTECRISTI!O32+NAGUA!O32+NAVARRETE!O32+OCOA!O32+NEYBA!O32+PEDERNALES!O32+PEKIN!O32+PLATANITOS!O32+QUISQUEYA!O32+'PUERTO PLATA'!O32+SAMANA!O32+'SAN CRISTOBAL'!O32+'SAN FCO'!O32+'SAN JUAN'!O32+'SAN PEDRO'!O32+'SANTIAGO RDGUEZ'!O32+'VILLA GONZALEZ'!O32+MOCA!O32+'VILLA LIBERACION'!O32+BONAO!O32+GALVAN!O32+BOHECHIO!O33+PARAISO!O32+'ARROYO CANO'!O32+'POSTRER RIO'!O32+'EL YAQUE'!O32+ENRIQUILLO!O32+'HATO MAYOR'!O32+'LOTERIA NAC.'!O32+UASD!O32+HIGUEY!O32</f>
        <v>0</v>
      </c>
      <c r="M32" s="269">
        <f>+'ADM 1'!W32+'ADM 2'!R32+'LA VILLA'!P32+'LOS ALCARRIZOS'!P32+'LOS MINA'!S32+'LAS CAOBAS'!P32+AZUA!P32+BARAHONA!P32+BAYAGUANA!P32+'BATEY 6'!P32+BOYA!P32+'BOCA CACHON'!P32+'CRISTO REY'!P43+CONSTANZA!P32+CRISTOBAL!P32+DAJABON!P32+'EL SEYBO'!P32+'ELIAS PIÑA'!P32+'LA VEGA'!P32+MAO!P32+'LA ROMANA'!P32+'MONTE PLATA'!P32+MANZANILLO!P32+MONTECRISTI!P32+NAGUA!P32+NAVARRETE!P32+OCOA!P32+NEYBA!P32+PEDERNALES!P32+PEKIN!P32+PLATANITOS!P32+QUISQUEYA!P32+'PUERTO PLATA'!P32+SAMANA!P32+'SAN CRISTOBAL'!P32+'SAN FCO'!P32+'SAN JUAN'!P32+'SAN PEDRO'!P32+'SANTIAGO RDGUEZ'!P32+'VILLA GONZALEZ'!P32+MOCA!P32+'VILLA LIBERACION'!P32+BONAO!P32+GALVAN!P32+BOHECHIO!P33+PARAISO!P32+'ARROYO CANO'!P32+'POSTRER RIO'!P32+'EL YAQUE'!P32+ENRIQUILLO!P32+'HATO MAYOR'!P32+'LOTERIA NAC.'!P32+UASD!P32+HIGUEY!P32</f>
        <v>0</v>
      </c>
      <c r="N32" s="187">
        <f t="shared" si="2"/>
        <v>14593</v>
      </c>
      <c r="O32" s="183">
        <f t="shared" si="3"/>
        <v>22593</v>
      </c>
      <c r="S32" s="70"/>
      <c r="T32" s="3"/>
      <c r="U32" s="3"/>
      <c r="V32" s="70">
        <f t="shared" si="4"/>
        <v>0</v>
      </c>
    </row>
    <row r="33" spans="1:22" ht="15" customHeight="1" x14ac:dyDescent="0.3">
      <c r="C33" s="26">
        <v>18</v>
      </c>
      <c r="D33" s="264">
        <f>+'ADM 1'!D33+'ADM 2'!D33+'LA VILLA'!D33+'LOS ALCARRIZOS'!D33+'LOS MINA'!D33+'LAS CAOBAS'!D33+AZUA!D33+BARAHONA!D33+BAYAGUANA!D33+'BATEY 6'!D33+BOYA!D33+'BOCA CACHON'!D33+'CRISTO REY'!D44+CONSTANZA!D33+CRISTOBAL!D33+DAJABON!D33+'EL SEYBO'!D33+'ELIAS PIÑA'!D33+'LA VEGA'!D33+MAO!D33+'LA ROMANA'!D33+'MONTE PLATA'!D33+MANZANILLO!D33+MONTECRISTI!D33+NAGUA!D33+NAVARRETE!D33+OCOA!D33+NEYBA!D33+PEDERNALES!D33+PEKIN!D33+PLATANITOS!D33+QUISQUEYA!D33+'PUERTO PLATA'!D33+SAMANA!D33+'SAN CRISTOBAL'!D33+'SAN FCO'!D33+'SAN JUAN'!D33+'SAN PEDRO'!D33+'SANTIAGO RDGUEZ'!D33+'VILLA GONZALEZ'!D33+MOCA!D33+'VILLA LIBERACION'!D33+BONAO!D33+GALVAN!D33+BOHECHIO!D33+PARAISO!D33+'ARROYO CANO'!D33+'POSTRER RIO'!D33+'EL YAQUE'!D33+ENRIQUILLO!D33+'HATO MAYOR'!D33+'LOTERIA NAC.'!D33+UASD!D33+HIGUEY!D33</f>
        <v>0</v>
      </c>
      <c r="E33" s="264">
        <f>+'ADM 1'!E33+'ADM 2'!E33+'LA VILLA'!E33+'LOS ALCARRIZOS'!E33+'LOS MINA'!E33+'LAS CAOBAS'!E33+AZUA!E33+BARAHONA!E33+BAYAGUANA!E33+'BATEY 6'!E33+BOYA!E33+'BOCA CACHON'!E33+'CRISTO REY'!E44+CONSTANZA!E33+CRISTOBAL!E33+DAJABON!E33+'EL SEYBO'!E33+'ELIAS PIÑA'!E33+'LA VEGA'!E33+MAO!E33+'LA ROMANA'!E33+'MONTE PLATA'!E33+MANZANILLO!E33+MONTECRISTI!E33+NAGUA!E33+NAVARRETE!E33+OCOA!E33+NEYBA!E33+PEDERNALES!E33+PEKIN!E33+PLATANITOS!E33+QUISQUEYA!E33+'PUERTO PLATA'!E33+SAMANA!E33+'SAN CRISTOBAL'!E33+'SAN FCO'!E33+'SAN JUAN'!E33+'SAN PEDRO'!E33+'SANTIAGO RDGUEZ'!E33+'VILLA GONZALEZ'!E33+MOCA!E33+'VILLA LIBERACION'!E33+BONAO!E33+GALVAN!E33+BOHECHIO!E33+PARAISO!E33+'ARROYO CANO'!E33+'POSTRER RIO'!E33+'EL YAQUE'!E33+ENRIQUILLO!E33+'HATO MAYOR'!E33+'LOTERIA NAC.'!E33+UASD!E33+HIGUEY!E33</f>
        <v>0</v>
      </c>
      <c r="F33" s="318">
        <f t="shared" si="0"/>
        <v>0</v>
      </c>
      <c r="G33" s="266">
        <f>+'ADM 1'!Q33+'ADM 2'!L33+'LOS MINA'!M33+'LA VILLA'!J33+'LOS ALCARRIZOS'!J33+'LAS CAOBAS'!J33+AZUA!J33+BARAHONA!J33+BAYAGUANA!J33+'BATEY 6'!J33+BOYA!J33+'BOCA CACHON'!J33+'CRISTO REY'!J33+CONSTANZA!J33+CRISTOBAL!J33+DAJABON!J33+'EL SEYBO'!J33+'ELIAS PIÑA'!J33+'LA VEGA'!J33+MAO!J33+'LA ROMANA'!J33+'MONTE PLATA'!J33+MANZANILLO!J33+MONTECRISTI!J33+NAGUA!J33+NAVARRETE!J33+OCOA!J33+NEYBA!J33+PEDERNALES!J33+PEKIN!J33+PLATANITOS!J33+QUISQUEYA!J33+'PUERTO PLATA'!J33+SAMANA!J33+'SAN CRISTOBAL'!J33+'SAN FCO'!J33+'SAN JUAN'!J33+'SAN PEDRO'!J33+'SANTIAGO RDGUEZ'!J33+'VILLA GONZALEZ'!J33+MOCA!J33+'VILLA LIBERACION'!J33+BONAO!J33+GALVAN!J33+BOHECHIO!J33+PARAISO!J33+'ARROYO CANO'!J33+'POSTRER RIO'!J33+'EL YAQUE'!J33+ENRIQUILLO!J33+'HATO MAYOR'!J33+'LOTERIA NAC.'!J33+UASD!J33+HIGUEY!J33</f>
        <v>8000</v>
      </c>
      <c r="H33" s="270">
        <f>+'ADM 1'!R33+'ADM 2'!M33+'LOS MINA'!N33+'LA VILLA'!K33+'LOS ALCARRIZOS'!K33+'LAS CAOBAS'!K33+AZUA!K33+BARAHONA!K33+BAYAGUANA!K33+'BATEY 6'!K33+BOYA!K33+'BOCA CACHON'!K33+'CRISTO REY'!K33+CONSTANZA!K33+CRISTOBAL!K33+DAJABON!K33+'EL SEYBO'!K33+'ELIAS PIÑA'!K33+'LA VEGA'!K33+MAO!K33+'LA ROMANA'!K33+'MONTE PLATA'!K33+MANZANILLO!K33+MONTECRISTI!K33+NAGUA!K33+NAVARRETE!K33+OCOA!K33+NEYBA!K33+PEDERNALES!K33+PEKIN!K33+PLATANITOS!K33+QUISQUEYA!K33+'PUERTO PLATA'!K33+SAMANA!K33+'SAN CRISTOBAL'!K33+'SAN FCO'!K33+'SAN JUAN'!K33+'SAN PEDRO'!K33+'SANTIAGO RDGUEZ'!K33+'VILLA GONZALEZ'!K33+MOCA!K33+'VILLA LIBERACION'!K33+BONAO!K33+GALVAN!K33+BOHECHIO!K33+PARAISO!K33+'ARROYO CANO'!K33+'POSTRER RIO'!K33+'EL YAQUE'!K33+ENRIQUILLO!K33+'HATO MAYOR'!K33+'LOTERIA NAC.'!K33+UASD!K33+HIGUEY!K33</f>
        <v>366</v>
      </c>
      <c r="I33" s="270">
        <f>+'ADM 1'!S33+'ADM 2'!N33+'LOS MINA'!O33+'LA VILLA'!L33+'LOS ALCARRIZOS'!L33+'LAS CAOBAS'!L33+AZUA!L33+BARAHONA!L33+BAYAGUANA!L33+'BATEY 6'!L33+BOYA!L33+'BOCA CACHON'!L33+'CRISTO REY'!L33+CONSTANZA!L33+CRISTOBAL!L33+DAJABON!L33+'EL SEYBO'!L33+'ELIAS PIÑA'!L33+'LA VEGA'!L33+MAO!L33+'LA ROMANA'!L33+'MONTE PLATA'!L33+MANZANILLO!L33+MONTECRISTI!L33+NAGUA!L33+NAVARRETE!L33+OCOA!L33+NEYBA!L33+PEDERNALES!L33+PEKIN!L33+PLATANITOS!L33+QUISQUEYA!L33+'PUERTO PLATA'!L33+SAMANA!L33+'SAN CRISTOBAL'!L33+'SAN FCO'!L33+'SAN JUAN'!L33+'SAN PEDRO'!L33+'SANTIAGO RDGUEZ'!L33+'VILLA GONZALEZ'!L33+MOCA!L33+'VILLA LIBERACION'!L33+BONAO!L33+GALVAN!L33+BOHECHIO!L33+PARAISO!L33+'ARROYO CANO'!L33+'POSTRER RIO'!L33+'EL YAQUE'!L33+ENRIQUILLO!L33+'HATO MAYOR'!L33+'LOTERIA NAC.'!L33+UASD!L33+HIGUEY!L33</f>
        <v>8157</v>
      </c>
      <c r="J33" s="270">
        <f>+'ADM 1'!T33+'ADM 2'!O33+'LOS MINA'!P33+'LA VILLA'!M33+'LOS ALCARRIZOS'!M33+'LAS CAOBAS'!M33+AZUA!M33+BARAHONA!M33+BAYAGUANA!M33+'BATEY 6'!M33+BOYA!M33+'BOCA CACHON'!M33+'CRISTO REY'!M33+CONSTANZA!M33+CRISTOBAL!M33+DAJABON!M33+'EL SEYBO'!M33+'ELIAS PIÑA'!M33+'LA VEGA'!M33+MAO!M33+'LA ROMANA'!M33+'MONTE PLATA'!M33+MANZANILLO!M33+MONTECRISTI!M33+NAGUA!M33+NAVARRETE!M33+OCOA!M33+NEYBA!M33+PEDERNALES!M33+PEKIN!M33+PLATANITOS!M33+QUISQUEYA!M33+'PUERTO PLATA'!M33+SAMANA!M33+'SAN CRISTOBAL'!M33+'SAN FCO'!M33+'SAN JUAN'!M33+'SAN PEDRO'!M33+'SANTIAGO RDGUEZ'!M33+'VILLA GONZALEZ'!M33+MOCA!M33+'VILLA LIBERACION'!M33+BONAO!M33+GALVAN!M33+BOHECHIO!M33+PARAISO!M33+'ARROYO CANO'!M33+'POSTRER RIO'!M33+'EL YAQUE'!M33+ENRIQUILLO!M33+'HATO MAYOR'!M33+'LOTERIA NAC.'!M33+UASD!M33+HIGUEY!M33</f>
        <v>0</v>
      </c>
      <c r="K33" s="256">
        <f t="shared" si="1"/>
        <v>8523</v>
      </c>
      <c r="L33" s="269">
        <f>+'ADM 1'!V33+'ADM 2'!Q33+'LA VILLA'!O33+'LOS ALCARRIZOS'!O33+'LOS MINA'!R33+'LAS CAOBAS'!O33+AZUA!O33+BARAHONA!O33+BAYAGUANA!O33+'BATEY 6'!O33+BOYA!O33+'BOCA CACHON'!O33+'CRISTO REY'!O44+CONSTANZA!O33+CRISTOBAL!O33+DAJABON!O33+'EL SEYBO'!O33+'ELIAS PIÑA'!O33+'LA VEGA'!O33+MAO!O33+'LA ROMANA'!O33+'MONTE PLATA'!O33+MANZANILLO!O33+MONTECRISTI!O33+NAGUA!O33+NAVARRETE!O33+OCOA!O33+NEYBA!O33+PEDERNALES!O33+PEKIN!O33+PLATANITOS!O33+QUISQUEYA!O33+'PUERTO PLATA'!O33+SAMANA!O33+'SAN CRISTOBAL'!O33+'SAN FCO'!O33+'SAN JUAN'!O33+'SAN PEDRO'!O33+'SANTIAGO RDGUEZ'!O33+'VILLA GONZALEZ'!O33+MOCA!O33+'VILLA LIBERACION'!O33+BONAO!O33+GALVAN!O33+BOHECHIO!O34+PARAISO!O33+'ARROYO CANO'!O33+'POSTRER RIO'!O33+'EL YAQUE'!O33+ENRIQUILLO!O33+'HATO MAYOR'!O33+'LOTERIA NAC.'!O33+UASD!O33+HIGUEY!O33</f>
        <v>0</v>
      </c>
      <c r="M33" s="269">
        <f>+'ADM 1'!W33+'ADM 2'!R33+'LA VILLA'!P33+'LOS ALCARRIZOS'!P33+'LOS MINA'!S33+'LAS CAOBAS'!P33+AZUA!P33+BARAHONA!P33+BAYAGUANA!P33+'BATEY 6'!P33+BOYA!P33+'BOCA CACHON'!P33+'CRISTO REY'!P44+CONSTANZA!P33+CRISTOBAL!P33+DAJABON!P33+'EL SEYBO'!P33+'ELIAS PIÑA'!P33+'LA VEGA'!P33+MAO!P33+'LA ROMANA'!P33+'MONTE PLATA'!P33+MANZANILLO!P33+MONTECRISTI!P33+NAGUA!P33+NAVARRETE!P33+OCOA!P33+NEYBA!P33+PEDERNALES!P33+PEKIN!P33+PLATANITOS!P33+QUISQUEYA!P33+'PUERTO PLATA'!P33+SAMANA!P33+'SAN CRISTOBAL'!P33+'SAN FCO'!P33+'SAN JUAN'!P33+'SAN PEDRO'!P33+'SANTIAGO RDGUEZ'!P33+'VILLA GONZALEZ'!P33+MOCA!P33+'VILLA LIBERACION'!P33+BONAO!P33+GALVAN!P33+BOHECHIO!P34+PARAISO!P33+'ARROYO CANO'!P33+'POSTRER RIO'!P33+'EL YAQUE'!P33+ENRIQUILLO!P33+'HATO MAYOR'!P33+'LOTERIA NAC.'!P33+UASD!P33+HIGUEY!P33</f>
        <v>0</v>
      </c>
      <c r="N33" s="187">
        <f t="shared" si="2"/>
        <v>8523</v>
      </c>
      <c r="O33" s="183">
        <f t="shared" si="3"/>
        <v>16523</v>
      </c>
      <c r="S33" s="70"/>
      <c r="T33" s="3"/>
      <c r="U33" s="3"/>
      <c r="V33" s="70">
        <f t="shared" si="4"/>
        <v>0</v>
      </c>
    </row>
    <row r="34" spans="1:22" ht="15" customHeight="1" x14ac:dyDescent="0.3">
      <c r="C34" s="26">
        <v>19</v>
      </c>
      <c r="D34" s="264">
        <f>+'ADM 1'!D34+'ADM 2'!D34+'LA VILLA'!D34+'LOS ALCARRIZOS'!D34+'LOS MINA'!D34+'LAS CAOBAS'!D34+AZUA!D34+BARAHONA!D34+BAYAGUANA!D34+'BATEY 6'!D34+BOYA!D34+'BOCA CACHON'!D34+'CRISTO REY'!D45+CONSTANZA!D34+CRISTOBAL!D34+DAJABON!D34+'EL SEYBO'!D34+'ELIAS PIÑA'!D34+'LA VEGA'!D34+MAO!D34+'LA ROMANA'!D34+'MONTE PLATA'!D34+MANZANILLO!D34+MONTECRISTI!D34+NAGUA!D34+NAVARRETE!D34+OCOA!D34+NEYBA!D34+PEDERNALES!D34+PEKIN!D34+PLATANITOS!D34+QUISQUEYA!D34+'PUERTO PLATA'!D34+SAMANA!D34+'SAN CRISTOBAL'!D34+'SAN FCO'!D34+'SAN JUAN'!D34+'SAN PEDRO'!D34+'SANTIAGO RDGUEZ'!D34+'VILLA GONZALEZ'!D34+MOCA!D34+'VILLA LIBERACION'!D34+BONAO!D34+GALVAN!D34+BOHECHIO!D34+PARAISO!D34+'ARROYO CANO'!D34+'POSTRER RIO'!D34+'EL YAQUE'!D34+ENRIQUILLO!D34+'HATO MAYOR'!D34+'LOTERIA NAC.'!D34+UASD!D34+HIGUEY!D34</f>
        <v>0</v>
      </c>
      <c r="E34" s="264">
        <f>+'ADM 1'!E34+'ADM 2'!E34+'LA VILLA'!E34+'LOS ALCARRIZOS'!E34+'LOS MINA'!E34+'LAS CAOBAS'!E34+AZUA!E34+BARAHONA!E34+BAYAGUANA!E34+'BATEY 6'!E34+BOYA!E34+'BOCA CACHON'!E34+'CRISTO REY'!E45+CONSTANZA!E34+CRISTOBAL!E34+DAJABON!E34+'EL SEYBO'!E34+'ELIAS PIÑA'!E34+'LA VEGA'!E34+MAO!E34+'LA ROMANA'!E34+'MONTE PLATA'!E34+MANZANILLO!E34+MONTECRISTI!E34+NAGUA!E34+NAVARRETE!E34+OCOA!E34+NEYBA!E34+PEDERNALES!E34+PEKIN!E34+PLATANITOS!E34+QUISQUEYA!E34+'PUERTO PLATA'!E34+SAMANA!E34+'SAN CRISTOBAL'!E34+'SAN FCO'!E34+'SAN JUAN'!E34+'SAN PEDRO'!E34+'SANTIAGO RDGUEZ'!E34+'VILLA GONZALEZ'!E34+MOCA!E34+'VILLA LIBERACION'!E34+BONAO!E34+GALVAN!E34+BOHECHIO!E34+PARAISO!E34+'ARROYO CANO'!E34+'POSTRER RIO'!E34+'EL YAQUE'!E34+ENRIQUILLO!E34+'HATO MAYOR'!E34+'LOTERIA NAC.'!E34+UASD!E34+HIGUEY!E34</f>
        <v>0</v>
      </c>
      <c r="F34" s="318">
        <f t="shared" si="0"/>
        <v>0</v>
      </c>
      <c r="G34" s="266">
        <f>+'ADM 1'!Q34+'ADM 2'!L34+'LOS MINA'!M34+'LA VILLA'!J34+'LOS ALCARRIZOS'!J34+'LAS CAOBAS'!J34+AZUA!J34+BARAHONA!J34+BAYAGUANA!J34+'BATEY 6'!J34+BOYA!J34+'BOCA CACHON'!J34+'CRISTO REY'!J34+CONSTANZA!J34+CRISTOBAL!J34+DAJABON!J34+'EL SEYBO'!J34+'ELIAS PIÑA'!J34+'LA VEGA'!J34+MAO!J34+'LA ROMANA'!J34+'MONTE PLATA'!J34+MANZANILLO!J34+MONTECRISTI!J34+NAGUA!J34+NAVARRETE!J34+OCOA!J34+NEYBA!J34+PEDERNALES!J34+PEKIN!J34+PLATANITOS!J34+QUISQUEYA!J34+'PUERTO PLATA'!J34+SAMANA!J34+'SAN CRISTOBAL'!J34+'SAN FCO'!J34+'SAN JUAN'!J34+'SAN PEDRO'!J34+'SANTIAGO RDGUEZ'!J34+'VILLA GONZALEZ'!J34+MOCA!J34+'VILLA LIBERACION'!J34+BONAO!J34+GALVAN!J34+BOHECHIO!J34+PARAISO!J34+'ARROYO CANO'!J34+'POSTRER RIO'!J34+'EL YAQUE'!J34+ENRIQUILLO!J34+'HATO MAYOR'!J34+'LOTERIA NAC.'!J34+UASD!J34+HIGUEY!J34</f>
        <v>8364</v>
      </c>
      <c r="H34" s="270">
        <f>+'ADM 1'!R34+'ADM 2'!M34+'LOS MINA'!N34+'LA VILLA'!K34+'LOS ALCARRIZOS'!K34+'LAS CAOBAS'!K34+AZUA!K34+BARAHONA!K34+BAYAGUANA!K34+'BATEY 6'!K34+BOYA!K34+'BOCA CACHON'!K34+'CRISTO REY'!K34+CONSTANZA!K34+CRISTOBAL!K34+DAJABON!K34+'EL SEYBO'!K34+'ELIAS PIÑA'!K34+'LA VEGA'!K34+MAO!K34+'LA ROMANA'!K34+'MONTE PLATA'!K34+MANZANILLO!K34+MONTECRISTI!K34+NAGUA!K34+NAVARRETE!K34+OCOA!K34+NEYBA!K34+PEDERNALES!K34+PEKIN!K34+PLATANITOS!K34+QUISQUEYA!K34+'PUERTO PLATA'!K34+SAMANA!K34+'SAN CRISTOBAL'!K34+'SAN FCO'!K34+'SAN JUAN'!K34+'SAN PEDRO'!K34+'SANTIAGO RDGUEZ'!K34+'VILLA GONZALEZ'!K34+MOCA!K34+'VILLA LIBERACION'!K34+BONAO!K34+GALVAN!K34+BOHECHIO!K34+PARAISO!K34+'ARROYO CANO'!K34+'POSTRER RIO'!K34+'EL YAQUE'!K34+ENRIQUILLO!K34+'HATO MAYOR'!K34+'LOTERIA NAC.'!K34+UASD!K34+HIGUEY!K34</f>
        <v>1774</v>
      </c>
      <c r="I34" s="270">
        <f>+'ADM 1'!S34+'ADM 2'!N34+'LOS MINA'!O34+'LA VILLA'!L34+'LOS ALCARRIZOS'!L34+'LAS CAOBAS'!L34+AZUA!L34+BARAHONA!L34+BAYAGUANA!L34+'BATEY 6'!L34+BOYA!L34+'BOCA CACHON'!L34+'CRISTO REY'!L34+CONSTANZA!L34+CRISTOBAL!L34+DAJABON!L34+'EL SEYBO'!L34+'ELIAS PIÑA'!L34+'LA VEGA'!L34+MAO!L34+'LA ROMANA'!L34+'MONTE PLATA'!L34+MANZANILLO!L34+MONTECRISTI!L34+NAGUA!L34+NAVARRETE!L34+OCOA!L34+NEYBA!L34+PEDERNALES!L34+PEKIN!L34+PLATANITOS!L34+QUISQUEYA!L34+'PUERTO PLATA'!L34+SAMANA!L34+'SAN CRISTOBAL'!L34+'SAN FCO'!L34+'SAN JUAN'!L34+'SAN PEDRO'!L34+'SANTIAGO RDGUEZ'!L34+'VILLA GONZALEZ'!L34+MOCA!L34+'VILLA LIBERACION'!L34+BONAO!L34+GALVAN!L34+BOHECHIO!L34+PARAISO!L34+'ARROYO CANO'!L34+'POSTRER RIO'!L34+'EL YAQUE'!L34+ENRIQUILLO!L34+'HATO MAYOR'!L34+'LOTERIA NAC.'!L34+UASD!L34+HIGUEY!L34</f>
        <v>75519</v>
      </c>
      <c r="J34" s="270">
        <f>+'ADM 1'!T34+'ADM 2'!O34+'LOS MINA'!P34+'LA VILLA'!M34+'LOS ALCARRIZOS'!M34+'LAS CAOBAS'!M34+AZUA!M34+BARAHONA!M34+BAYAGUANA!M34+'BATEY 6'!M34+BOYA!M34+'BOCA CACHON'!M34+'CRISTO REY'!M34+CONSTANZA!M34+CRISTOBAL!M34+DAJABON!M34+'EL SEYBO'!M34+'ELIAS PIÑA'!M34+'LA VEGA'!M34+MAO!M34+'LA ROMANA'!M34+'MONTE PLATA'!M34+MANZANILLO!M34+MONTECRISTI!M34+NAGUA!M34+NAVARRETE!M34+OCOA!M34+NEYBA!M34+PEDERNALES!M34+PEKIN!M34+PLATANITOS!M34+QUISQUEYA!M34+'PUERTO PLATA'!M34+SAMANA!M34+'SAN CRISTOBAL'!M34+'SAN FCO'!M34+'SAN JUAN'!M34+'SAN PEDRO'!M34+'SANTIAGO RDGUEZ'!M34+'VILLA GONZALEZ'!M34+MOCA!M34+'VILLA LIBERACION'!M34+BONAO!M34+GALVAN!M34+BOHECHIO!M34+PARAISO!M34+'ARROYO CANO'!M34+'POSTRER RIO'!M34+'EL YAQUE'!M34+ENRIQUILLO!M34+'HATO MAYOR'!M34+'LOTERIA NAC.'!M34+UASD!M34+HIGUEY!M34</f>
        <v>1210</v>
      </c>
      <c r="K34" s="256">
        <f t="shared" si="1"/>
        <v>78503</v>
      </c>
      <c r="L34" s="269">
        <f>+'ADM 1'!V34+'ADM 2'!Q34+'LA VILLA'!O34+'LOS ALCARRIZOS'!O34+'LOS MINA'!R34+'LAS CAOBAS'!O34+AZUA!O34+BARAHONA!O34+BAYAGUANA!O34+'BATEY 6'!O34+BOYA!O34+'BOCA CACHON'!O34+'CRISTO REY'!O45+CONSTANZA!O34+CRISTOBAL!O34+DAJABON!O34+'EL SEYBO'!O34+'ELIAS PIÑA'!O34+'LA VEGA'!O34+MAO!O34+'LA ROMANA'!O34+'MONTE PLATA'!O34+MANZANILLO!O34+MONTECRISTI!O34+NAGUA!O34+NAVARRETE!O34+OCOA!O34+NEYBA!O34+PEDERNALES!O34+PEKIN!O34+PLATANITOS!O34+QUISQUEYA!O34+'PUERTO PLATA'!O34+SAMANA!O34+'SAN CRISTOBAL'!O34+'SAN FCO'!O34+'SAN JUAN'!O34+'SAN PEDRO'!O34+'SANTIAGO RDGUEZ'!O34+'VILLA GONZALEZ'!O34+MOCA!O34+'VILLA LIBERACION'!O34+BONAO!O34+GALVAN!O34+BOHECHIO!O35+PARAISO!O34+'ARROYO CANO'!O34+'POSTRER RIO'!O34+'EL YAQUE'!O34+ENRIQUILLO!O34+'HATO MAYOR'!O34+'LOTERIA NAC.'!O34+UASD!O34+HIGUEY!O34</f>
        <v>0</v>
      </c>
      <c r="M34" s="269">
        <f>+'ADM 1'!W34+'ADM 2'!R34+'LA VILLA'!P34+'LOS ALCARRIZOS'!P34+'LOS MINA'!S34+'LAS CAOBAS'!P34+AZUA!P34+BARAHONA!P34+BAYAGUANA!P34+'BATEY 6'!P34+BOYA!P34+'BOCA CACHON'!P34+'CRISTO REY'!P45+CONSTANZA!P34+CRISTOBAL!P34+DAJABON!P34+'EL SEYBO'!P34+'ELIAS PIÑA'!P34+'LA VEGA'!P34+MAO!P34+'LA ROMANA'!P34+'MONTE PLATA'!P34+MANZANILLO!P34+MONTECRISTI!P34+NAGUA!P34+NAVARRETE!P34+OCOA!P34+NEYBA!P34+PEDERNALES!P34+PEKIN!P34+PLATANITOS!P34+QUISQUEYA!P34+'PUERTO PLATA'!P34+SAMANA!P34+'SAN CRISTOBAL'!P34+'SAN FCO'!P34+'SAN JUAN'!P34+'SAN PEDRO'!P34+'SANTIAGO RDGUEZ'!P34+'VILLA GONZALEZ'!P34+MOCA!P34+'VILLA LIBERACION'!P34+BONAO!P34+GALVAN!P34+BOHECHIO!P35+PARAISO!P34+'ARROYO CANO'!P34+'POSTRER RIO'!P34+'EL YAQUE'!P34+ENRIQUILLO!P34+'HATO MAYOR'!P34+'LOTERIA NAC.'!P34+UASD!P34+HIGUEY!P34</f>
        <v>0</v>
      </c>
      <c r="N34" s="187">
        <f t="shared" si="2"/>
        <v>78503</v>
      </c>
      <c r="O34" s="183">
        <f t="shared" si="3"/>
        <v>86867</v>
      </c>
      <c r="S34" s="70"/>
      <c r="T34" s="3"/>
      <c r="U34" s="3"/>
      <c r="V34" s="70">
        <f t="shared" si="4"/>
        <v>0</v>
      </c>
    </row>
    <row r="35" spans="1:22" ht="15" customHeight="1" x14ac:dyDescent="0.3">
      <c r="C35" s="28">
        <v>20</v>
      </c>
      <c r="D35" s="264">
        <f>+'ADM 1'!D35+'ADM 2'!D35+'LA VILLA'!D35+'LOS ALCARRIZOS'!D35+'LOS MINA'!D35+'LAS CAOBAS'!D35+AZUA!D35+BARAHONA!D35+BAYAGUANA!D35+'BATEY 6'!D35+BOYA!D35+'BOCA CACHON'!D35+'CRISTO REY'!D46+CONSTANZA!D35+CRISTOBAL!D35+DAJABON!D35+'EL SEYBO'!D35+'ELIAS PIÑA'!D35+'LA VEGA'!D35+MAO!D35+'LA ROMANA'!D35+'MONTE PLATA'!D35+MANZANILLO!D35+MONTECRISTI!D35+NAGUA!D35+NAVARRETE!D35+OCOA!D35+NEYBA!D35+PEDERNALES!D35+PEKIN!D35+PLATANITOS!D35+QUISQUEYA!D35+'PUERTO PLATA'!D35+SAMANA!D35+'SAN CRISTOBAL'!D35+'SAN FCO'!D35+'SAN JUAN'!D35+'SAN PEDRO'!D35+'SANTIAGO RDGUEZ'!D35+'VILLA GONZALEZ'!D35+MOCA!D35+'VILLA LIBERACION'!D35+BONAO!D35+GALVAN!D35+BOHECHIO!D35+PARAISO!D35+'ARROYO CANO'!D35+'POSTRER RIO'!D35+'EL YAQUE'!D35+ENRIQUILLO!D35+'HATO MAYOR'!D35+'LOTERIA NAC.'!D35+UASD!D35+HIGUEY!D35</f>
        <v>17</v>
      </c>
      <c r="E35" s="264">
        <f>+'ADM 1'!E35+'ADM 2'!E35+'LA VILLA'!E35+'LOS ALCARRIZOS'!E35+'LOS MINA'!E35+'LAS CAOBAS'!E35+AZUA!E35+BARAHONA!E35+BAYAGUANA!E35+'BATEY 6'!E35+BOYA!E35+'BOCA CACHON'!E35+'CRISTO REY'!E46+CONSTANZA!E35+CRISTOBAL!E35+DAJABON!E35+'EL SEYBO'!E35+'ELIAS PIÑA'!E35+'LA VEGA'!E35+MAO!E35+'LA ROMANA'!E35+'MONTE PLATA'!E35+MANZANILLO!E35+MONTECRISTI!E35+NAGUA!E35+NAVARRETE!E35+OCOA!E35+NEYBA!E35+PEDERNALES!E35+PEKIN!E35+PLATANITOS!E35+QUISQUEYA!E35+'PUERTO PLATA'!E35+SAMANA!E35+'SAN CRISTOBAL'!E35+'SAN FCO'!E35+'SAN JUAN'!E35+'SAN PEDRO'!E35+'SANTIAGO RDGUEZ'!E35+'VILLA GONZALEZ'!E35+MOCA!E35+'VILLA LIBERACION'!E35+BONAO!E35+GALVAN!E35+BOHECHIO!E35+PARAISO!E35+'ARROYO CANO'!E35+'POSTRER RIO'!E35+'EL YAQUE'!E35+ENRIQUILLO!E35+'HATO MAYOR'!E35+'LOTERIA NAC.'!E35+UASD!E35+HIGUEY!E35</f>
        <v>0</v>
      </c>
      <c r="F35" s="318">
        <f t="shared" si="0"/>
        <v>17</v>
      </c>
      <c r="G35" s="266">
        <f>+'ADM 1'!Q35+'ADM 2'!L35+'LOS MINA'!M35+'LA VILLA'!J35+'LOS ALCARRIZOS'!J35+'LAS CAOBAS'!J35+AZUA!J35+BARAHONA!J35+BAYAGUANA!J35+'BATEY 6'!J35+BOYA!J35+'BOCA CACHON'!J35+'CRISTO REY'!J35+CONSTANZA!J35+CRISTOBAL!J35+DAJABON!J35+'EL SEYBO'!J35+'ELIAS PIÑA'!J35+'LA VEGA'!J35+MAO!J35+'LA ROMANA'!J35+'MONTE PLATA'!J35+MANZANILLO!J35+MONTECRISTI!J35+NAGUA!J35+NAVARRETE!J35+OCOA!J35+NEYBA!J35+PEDERNALES!J35+PEKIN!J35+PLATANITOS!J35+QUISQUEYA!J35+'PUERTO PLATA'!J35+SAMANA!J35+'SAN CRISTOBAL'!J35+'SAN FCO'!J35+'SAN JUAN'!J35+'SAN PEDRO'!J35+'SANTIAGO RDGUEZ'!J35+'VILLA GONZALEZ'!J35+MOCA!J35+'VILLA LIBERACION'!J35+BONAO!J35+GALVAN!J35+BOHECHIO!J35+PARAISO!J35+'ARROYO CANO'!J35+'POSTRER RIO'!J35+'EL YAQUE'!J35+ENRIQUILLO!J35+'HATO MAYOR'!J35+'LOTERIA NAC.'!J35+UASD!J35+HIGUEY!J35</f>
        <v>10020</v>
      </c>
      <c r="H35" s="270">
        <f>+'ADM 1'!R35+'ADM 2'!M35+'LOS MINA'!N35+'LA VILLA'!K35+'LOS ALCARRIZOS'!K35+'LAS CAOBAS'!K35+AZUA!K35+BARAHONA!K35+BAYAGUANA!K35+'BATEY 6'!K35+BOYA!K35+'BOCA CACHON'!K35+'CRISTO REY'!K35+CONSTANZA!K35+CRISTOBAL!K35+DAJABON!K35+'EL SEYBO'!K35+'ELIAS PIÑA'!K35+'LA VEGA'!K35+MAO!K35+'LA ROMANA'!K35+'MONTE PLATA'!K35+MANZANILLO!K35+MONTECRISTI!K35+NAGUA!K35+NAVARRETE!K35+OCOA!K35+NEYBA!K35+PEDERNALES!K35+PEKIN!K35+PLATANITOS!K35+QUISQUEYA!K35+'PUERTO PLATA'!K35+SAMANA!K35+'SAN CRISTOBAL'!K35+'SAN FCO'!K35+'SAN JUAN'!K35+'SAN PEDRO'!K35+'SANTIAGO RDGUEZ'!K35+'VILLA GONZALEZ'!K35+MOCA!K35+'VILLA LIBERACION'!K35+BONAO!K35+GALVAN!K35+BOHECHIO!K35+PARAISO!K35+'ARROYO CANO'!K35+'POSTRER RIO'!K35+'EL YAQUE'!K35+ENRIQUILLO!K35+'HATO MAYOR'!K35+'LOTERIA NAC.'!K35+UASD!K35+HIGUEY!K35</f>
        <v>1988</v>
      </c>
      <c r="I35" s="270">
        <f>+'ADM 1'!S35+'ADM 2'!N35+'LOS MINA'!O35+'LA VILLA'!L35+'LOS ALCARRIZOS'!L35+'LAS CAOBAS'!L35+AZUA!L35+BARAHONA!L35+BAYAGUANA!L35+'BATEY 6'!L35+BOYA!L35+'BOCA CACHON'!L35+'CRISTO REY'!L35+CONSTANZA!L35+CRISTOBAL!L35+DAJABON!L35+'EL SEYBO'!L35+'ELIAS PIÑA'!L35+'LA VEGA'!L35+MAO!L35+'LA ROMANA'!L35+'MONTE PLATA'!L35+MANZANILLO!L35+MONTECRISTI!L35+NAGUA!L35+NAVARRETE!L35+OCOA!L35+NEYBA!L35+PEDERNALES!L35+PEKIN!L35+PLATANITOS!L35+QUISQUEYA!L35+'PUERTO PLATA'!L35+SAMANA!L35+'SAN CRISTOBAL'!L35+'SAN FCO'!L35+'SAN JUAN'!L35+'SAN PEDRO'!L35+'SANTIAGO RDGUEZ'!L35+'VILLA GONZALEZ'!L35+MOCA!L35+'VILLA LIBERACION'!L35+BONAO!L35+GALVAN!L35+BOHECHIO!L35+PARAISO!L35+'ARROYO CANO'!L35+'POSTRER RIO'!L35+'EL YAQUE'!L35+ENRIQUILLO!L35+'HATO MAYOR'!L35+'LOTERIA NAC.'!L35+UASD!L35+HIGUEY!L35</f>
        <v>89170</v>
      </c>
      <c r="J35" s="270">
        <f>+'ADM 1'!T35+'ADM 2'!O35+'LOS MINA'!P35+'LA VILLA'!M35+'LOS ALCARRIZOS'!M35+'LAS CAOBAS'!M35+AZUA!M35+BARAHONA!M35+BAYAGUANA!M35+'BATEY 6'!M35+BOYA!M35+'BOCA CACHON'!M35+'CRISTO REY'!M35+CONSTANZA!M35+CRISTOBAL!M35+DAJABON!M35+'EL SEYBO'!M35+'ELIAS PIÑA'!M35+'LA VEGA'!M35+MAO!M35+'LA ROMANA'!M35+'MONTE PLATA'!M35+MANZANILLO!M35+MONTECRISTI!M35+NAGUA!M35+NAVARRETE!M35+OCOA!M35+NEYBA!M35+PEDERNALES!M35+PEKIN!M35+PLATANITOS!M35+QUISQUEYA!M35+'PUERTO PLATA'!M35+SAMANA!M35+'SAN CRISTOBAL'!M35+'SAN FCO'!M35+'SAN JUAN'!M35+'SAN PEDRO'!M35+'SANTIAGO RDGUEZ'!M35+'VILLA GONZALEZ'!M35+MOCA!M35+'VILLA LIBERACION'!M35+BONAO!M35+GALVAN!M35+BOHECHIO!M35+PARAISO!M35+'ARROYO CANO'!M35+'POSTRER RIO'!M35+'EL YAQUE'!M35+ENRIQUILLO!M35+'HATO MAYOR'!M35+'LOTERIA NAC.'!M35+UASD!M35+HIGUEY!M35</f>
        <v>715</v>
      </c>
      <c r="K35" s="256">
        <f t="shared" si="1"/>
        <v>91873</v>
      </c>
      <c r="L35" s="269">
        <f>+'ADM 1'!V35+'ADM 2'!Q35+'LA VILLA'!O35+'LOS ALCARRIZOS'!O35+'LOS MINA'!R35+'LAS CAOBAS'!O35+AZUA!O35+BARAHONA!O35+BAYAGUANA!O35+'BATEY 6'!O35+BOYA!O35+'BOCA CACHON'!O35+'CRISTO REY'!O46+CONSTANZA!O35+CRISTOBAL!O35+DAJABON!O35+'EL SEYBO'!O35+'ELIAS PIÑA'!O35+'LA VEGA'!O35+MAO!O35+'LA ROMANA'!O35+'MONTE PLATA'!O35+MANZANILLO!O35+MONTECRISTI!O35+NAGUA!O35+NAVARRETE!O35+OCOA!O35+NEYBA!O35+PEDERNALES!O35+PEKIN!O35+PLATANITOS!O35+QUISQUEYA!O35+'PUERTO PLATA'!O35+SAMANA!O35+'SAN CRISTOBAL'!O35+'SAN FCO'!O35+'SAN JUAN'!O35+'SAN PEDRO'!O35+'SANTIAGO RDGUEZ'!O35+'VILLA GONZALEZ'!O35+MOCA!O35+'VILLA LIBERACION'!O35+BONAO!O35+GALVAN!O35+BOHECHIO!O36+PARAISO!O35+'ARROYO CANO'!O35+'POSTRER RIO'!O35+'EL YAQUE'!O35+ENRIQUILLO!O35+'HATO MAYOR'!O35+'LOTERIA NAC.'!O35+UASD!O35+HIGUEY!O35</f>
        <v>0</v>
      </c>
      <c r="M35" s="269">
        <f>+'ADM 1'!W35+'ADM 2'!R35+'LA VILLA'!P35+'LOS ALCARRIZOS'!P35+'LOS MINA'!S35+'LAS CAOBAS'!P35+AZUA!P35+BARAHONA!P35+BAYAGUANA!P35+'BATEY 6'!P35+BOYA!P35+'BOCA CACHON'!P35+'CRISTO REY'!P46+CONSTANZA!P35+CRISTOBAL!P35+DAJABON!P35+'EL SEYBO'!P35+'ELIAS PIÑA'!P35+'LA VEGA'!P35+MAO!P35+'LA ROMANA'!P35+'MONTE PLATA'!P35+MANZANILLO!P35+MONTECRISTI!P35+NAGUA!P35+NAVARRETE!P35+OCOA!P35+NEYBA!P35+PEDERNALES!P35+PEKIN!P35+PLATANITOS!P35+QUISQUEYA!P35+'PUERTO PLATA'!P35+SAMANA!P35+'SAN CRISTOBAL'!P35+'SAN FCO'!P35+'SAN JUAN'!P35+'SAN PEDRO'!P35+'SANTIAGO RDGUEZ'!P35+'VILLA GONZALEZ'!P35+MOCA!P35+'VILLA LIBERACION'!P35+BONAO!P35+GALVAN!P35+BOHECHIO!P36+PARAISO!P35+'ARROYO CANO'!P35+'POSTRER RIO'!P35+'EL YAQUE'!P35+ENRIQUILLO!P35+'HATO MAYOR'!P35+'LOTERIA NAC.'!P35+UASD!P35+HIGUEY!P35</f>
        <v>0</v>
      </c>
      <c r="N35" s="187">
        <f t="shared" si="2"/>
        <v>91873</v>
      </c>
      <c r="O35" s="183">
        <f t="shared" si="3"/>
        <v>101910</v>
      </c>
      <c r="S35" s="70"/>
      <c r="T35" s="3"/>
      <c r="U35" s="3"/>
      <c r="V35" s="70">
        <f t="shared" si="4"/>
        <v>0</v>
      </c>
    </row>
    <row r="36" spans="1:22" ht="15" customHeight="1" x14ac:dyDescent="0.3">
      <c r="A36" s="480"/>
      <c r="C36" s="26">
        <v>21</v>
      </c>
      <c r="D36" s="264">
        <f>+'ADM 1'!D36+'ADM 2'!D36+'LA VILLA'!D36+'LOS ALCARRIZOS'!D36+'LOS MINA'!D36+'LAS CAOBAS'!D36+AZUA!D36+BARAHONA!D36+BAYAGUANA!D36+'BATEY 6'!D36+BOYA!D36+'BOCA CACHON'!D36+'CRISTO REY'!D47+CONSTANZA!D36+CRISTOBAL!D36+DAJABON!D36+'EL SEYBO'!D36+'ELIAS PIÑA'!D36+'LA VEGA'!D36+MAO!D36+'LA ROMANA'!D36+'MONTE PLATA'!D36+MANZANILLO!D36+MONTECRISTI!D36+NAGUA!D36+NAVARRETE!D36+OCOA!D36+NEYBA!D36+PEDERNALES!D36+PEKIN!D36+PLATANITOS!D36+QUISQUEYA!D36+'PUERTO PLATA'!D36+SAMANA!D36+'SAN CRISTOBAL'!D36+'SAN FCO'!D36+'SAN JUAN'!D36+'SAN PEDRO'!D36+'SANTIAGO RDGUEZ'!D36+'VILLA GONZALEZ'!D36+MOCA!D36+'VILLA LIBERACION'!D36+BONAO!D36+GALVAN!D36+BOHECHIO!D36+PARAISO!D36+'ARROYO CANO'!D36+'POSTRER RIO'!D36+'EL YAQUE'!D36+ENRIQUILLO!D36+'HATO MAYOR'!D36+'LOTERIA NAC.'!D36+UASD!D36+HIGUEY!D36</f>
        <v>27</v>
      </c>
      <c r="E36" s="264">
        <f>+'ADM 1'!E36+'ADM 2'!E36+'LA VILLA'!E36+'LOS ALCARRIZOS'!E36+'LOS MINA'!E36+'LAS CAOBAS'!E36+AZUA!E36+BARAHONA!E36+BAYAGUANA!E36+'BATEY 6'!E36+BOYA!E36+'BOCA CACHON'!E36+'CRISTO REY'!E47+CONSTANZA!E36+CRISTOBAL!E36+DAJABON!E36+'EL SEYBO'!E36+'ELIAS PIÑA'!E36+'LA VEGA'!E36+MAO!E36+'LA ROMANA'!E36+'MONTE PLATA'!E36+MANZANILLO!E36+MONTECRISTI!E36+NAGUA!E36+NAVARRETE!E36+OCOA!E36+NEYBA!E36+PEDERNALES!E36+PEKIN!E36+PLATANITOS!E36+QUISQUEYA!E36+'PUERTO PLATA'!E36+SAMANA!E36+'SAN CRISTOBAL'!E36+'SAN FCO'!E36+'SAN JUAN'!E36+'SAN PEDRO'!E36+'SANTIAGO RDGUEZ'!E36+'VILLA GONZALEZ'!E36+MOCA!E36+'VILLA LIBERACION'!E36+BONAO!E36+GALVAN!E36+BOHECHIO!E36+PARAISO!E36+'ARROYO CANO'!E36+'POSTRER RIO'!E36+'EL YAQUE'!E36+ENRIQUILLO!E36+'HATO MAYOR'!E36+'LOTERIA NAC.'!E36+UASD!E36+HIGUEY!E36</f>
        <v>0</v>
      </c>
      <c r="F36" s="318">
        <f t="shared" si="0"/>
        <v>27</v>
      </c>
      <c r="G36" s="266">
        <f>+'ADM 1'!Q36+'ADM 2'!L36+'LOS MINA'!M36+'LA VILLA'!J36+'LOS ALCARRIZOS'!J36+'LAS CAOBAS'!J36+AZUA!J36+BARAHONA!J36+BAYAGUANA!J36+'BATEY 6'!J36+BOYA!J36+'BOCA CACHON'!J36+'CRISTO REY'!J36+CONSTANZA!J36+CRISTOBAL!J36+DAJABON!J36+'EL SEYBO'!J36+'ELIAS PIÑA'!J36+'LA VEGA'!J36+MAO!J36+'LA ROMANA'!J36+'MONTE PLATA'!J36+MANZANILLO!J36+MONTECRISTI!J36+NAGUA!J36+NAVARRETE!J36+OCOA!J36+NEYBA!J36+PEDERNALES!J36+PEKIN!J36+PLATANITOS!J36+QUISQUEYA!J36+'PUERTO PLATA'!J36+SAMANA!J36+'SAN CRISTOBAL'!J36+'SAN FCO'!J36+'SAN JUAN'!J36+'SAN PEDRO'!J36+'SANTIAGO RDGUEZ'!J36+'VILLA GONZALEZ'!J36+MOCA!J36+'VILLA LIBERACION'!J36+BONAO!J36+GALVAN!J36+BOHECHIO!J36+PARAISO!J36+'ARROYO CANO'!J36+'POSTRER RIO'!J36+'EL YAQUE'!J36+ENRIQUILLO!J36+'HATO MAYOR'!J36+'LOTERIA NAC.'!J36+UASD!J36+HIGUEY!J36</f>
        <v>10084</v>
      </c>
      <c r="H36" s="270">
        <f>+'ADM 1'!R36+'ADM 2'!M36+'LOS MINA'!N36+'LA VILLA'!K36+'LOS ALCARRIZOS'!K36+'LAS CAOBAS'!K36+AZUA!K36+BARAHONA!K36+BAYAGUANA!K36+'BATEY 6'!K36+BOYA!K36+'BOCA CACHON'!K36+'CRISTO REY'!K36+CONSTANZA!K36+CRISTOBAL!K36+DAJABON!K36+'EL SEYBO'!K36+'ELIAS PIÑA'!K36+'LA VEGA'!K36+MAO!K36+'LA ROMANA'!K36+'MONTE PLATA'!K36+MANZANILLO!K36+MONTECRISTI!K36+NAGUA!K36+NAVARRETE!K36+OCOA!K36+NEYBA!K36+PEDERNALES!K36+PEKIN!K36+PLATANITOS!K36+QUISQUEYA!K36+'PUERTO PLATA'!K36+SAMANA!K36+'SAN CRISTOBAL'!K36+'SAN FCO'!K36+'SAN JUAN'!K36+'SAN PEDRO'!K36+'SANTIAGO RDGUEZ'!K36+'VILLA GONZALEZ'!K36+MOCA!K36+'VILLA LIBERACION'!K36+BONAO!K36+GALVAN!K36+BOHECHIO!K36+PARAISO!K36+'ARROYO CANO'!K36+'POSTRER RIO'!K36+'EL YAQUE'!K36+ENRIQUILLO!K36+'HATO MAYOR'!K36+'LOTERIA NAC.'!K36+UASD!K36+HIGUEY!K36</f>
        <v>2426</v>
      </c>
      <c r="I36" s="270">
        <f>+'ADM 1'!S36+'ADM 2'!N36+'LOS MINA'!O36+'LA VILLA'!L36+'LOS ALCARRIZOS'!L36+'LAS CAOBAS'!L36+AZUA!L36+BARAHONA!L36+BAYAGUANA!L36+'BATEY 6'!L36+BOYA!L36+'BOCA CACHON'!L36+'CRISTO REY'!L36+CONSTANZA!L36+CRISTOBAL!L36+DAJABON!L36+'EL SEYBO'!L36+'ELIAS PIÑA'!L36+'LA VEGA'!L36+MAO!L36+'LA ROMANA'!L36+'MONTE PLATA'!L36+MANZANILLO!L36+MONTECRISTI!L36+NAGUA!L36+NAVARRETE!L36+OCOA!L36+NEYBA!L36+PEDERNALES!L36+PEKIN!L36+PLATANITOS!L36+QUISQUEYA!L36+'PUERTO PLATA'!L36+SAMANA!L36+'SAN CRISTOBAL'!L36+'SAN FCO'!L36+'SAN JUAN'!L36+'SAN PEDRO'!L36+'SANTIAGO RDGUEZ'!L36+'VILLA GONZALEZ'!L36+MOCA!L36+'VILLA LIBERACION'!L36+BONAO!L36+GALVAN!L36+BOHECHIO!L36+PARAISO!L36+'ARROYO CANO'!L36+'POSTRER RIO'!L36+'EL YAQUE'!L36+ENRIQUILLO!L36+'HATO MAYOR'!L36+'LOTERIA NAC.'!L36+UASD!L36+HIGUEY!L36</f>
        <v>90709</v>
      </c>
      <c r="J36" s="270">
        <f>+'ADM 1'!T36+'ADM 2'!O36+'LOS MINA'!P36+'LA VILLA'!M36+'LOS ALCARRIZOS'!M36+'LAS CAOBAS'!M36+AZUA!M36+BARAHONA!M36+BAYAGUANA!M36+'BATEY 6'!M36+BOYA!M36+'BOCA CACHON'!M36+'CRISTO REY'!M36+CONSTANZA!M36+CRISTOBAL!M36+DAJABON!M36+'EL SEYBO'!M36+'ELIAS PIÑA'!M36+'LA VEGA'!M36+MAO!M36+'LA ROMANA'!M36+'MONTE PLATA'!M36+MANZANILLO!M36+MONTECRISTI!M36+NAGUA!M36+NAVARRETE!M36+OCOA!M36+NEYBA!M36+PEDERNALES!M36+PEKIN!M36+PLATANITOS!M36+QUISQUEYA!M36+'PUERTO PLATA'!M36+SAMANA!M36+'SAN CRISTOBAL'!M36+'SAN FCO'!M36+'SAN JUAN'!M36+'SAN PEDRO'!M36+'SANTIAGO RDGUEZ'!M36+'VILLA GONZALEZ'!M36+MOCA!M36+'VILLA LIBERACION'!M36+BONAO!M36+GALVAN!M36+BOHECHIO!M36+PARAISO!M36+'ARROYO CANO'!M36+'POSTRER RIO'!M36+'EL YAQUE'!M36+ENRIQUILLO!M36+'HATO MAYOR'!M36+'LOTERIA NAC.'!M36+UASD!M36+HIGUEY!M36</f>
        <v>4116</v>
      </c>
      <c r="K36" s="256">
        <f t="shared" si="1"/>
        <v>97251</v>
      </c>
      <c r="L36" s="269">
        <f>+'ADM 1'!V36+'ADM 2'!Q36+'LA VILLA'!O36+'LOS ALCARRIZOS'!O36+'LOS MINA'!R36+'LAS CAOBAS'!O36+AZUA!O36+BARAHONA!O36+BAYAGUANA!O36+'BATEY 6'!O36+BOYA!O36+'BOCA CACHON'!O36+'CRISTO REY'!O47+CONSTANZA!O36+CRISTOBAL!O36+DAJABON!O36+'EL SEYBO'!O36+'ELIAS PIÑA'!O36+'LA VEGA'!O36+MAO!O36+'LA ROMANA'!O36+'MONTE PLATA'!O36+MANZANILLO!O36+MONTECRISTI!O36+NAGUA!O36+NAVARRETE!O36+OCOA!O36+NEYBA!O36+PEDERNALES!O36+PEKIN!O36+PLATANITOS!O36+QUISQUEYA!O36+'PUERTO PLATA'!O36+SAMANA!O36+'SAN CRISTOBAL'!O36+'SAN FCO'!O36+'SAN JUAN'!O36+'SAN PEDRO'!O36+'SANTIAGO RDGUEZ'!O36+'VILLA GONZALEZ'!O36+MOCA!O36+'VILLA LIBERACION'!O36+BONAO!O36+GALVAN!O36+BOHECHIO!O37+PARAISO!O36+'ARROYO CANO'!O36+'POSTRER RIO'!O36+'EL YAQUE'!O36+ENRIQUILLO!O36+'HATO MAYOR'!O36+'LOTERIA NAC.'!O36+UASD!O36+HIGUEY!O36</f>
        <v>0</v>
      </c>
      <c r="M36" s="269">
        <f>+'ADM 1'!W36+'ADM 2'!R36+'LA VILLA'!P36+'LOS ALCARRIZOS'!P36+'LOS MINA'!S36+'LAS CAOBAS'!P36+AZUA!P36+BARAHONA!P36+BAYAGUANA!P36+'BATEY 6'!P36+BOYA!P36+'BOCA CACHON'!P36+'CRISTO REY'!P47+CONSTANZA!P36+CRISTOBAL!P36+DAJABON!P36+'EL SEYBO'!P36+'ELIAS PIÑA'!P36+'LA VEGA'!P36+MAO!P36+'LA ROMANA'!P36+'MONTE PLATA'!P36+MANZANILLO!P36+MONTECRISTI!P36+NAGUA!P36+NAVARRETE!P36+OCOA!P36+NEYBA!P36+PEDERNALES!P36+PEKIN!P36+PLATANITOS!P36+QUISQUEYA!P36+'PUERTO PLATA'!P36+SAMANA!P36+'SAN CRISTOBAL'!P36+'SAN FCO'!P36+'SAN JUAN'!P36+'SAN PEDRO'!P36+'SANTIAGO RDGUEZ'!P36+'VILLA GONZALEZ'!P36+MOCA!P36+'VILLA LIBERACION'!P36+BONAO!P36+GALVAN!P36+BOHECHIO!P37+PARAISO!P36+'ARROYO CANO'!P36+'POSTRER RIO'!P36+'EL YAQUE'!P36+ENRIQUILLO!P36+'HATO MAYOR'!P36+'LOTERIA NAC.'!P36+UASD!P36+HIGUEY!P36</f>
        <v>0</v>
      </c>
      <c r="N36" s="187">
        <f t="shared" si="2"/>
        <v>97251</v>
      </c>
      <c r="O36" s="183">
        <f t="shared" si="3"/>
        <v>107362</v>
      </c>
      <c r="S36" s="70"/>
      <c r="T36" s="3"/>
      <c r="U36" s="3"/>
      <c r="V36" s="70">
        <f t="shared" si="4"/>
        <v>0</v>
      </c>
    </row>
    <row r="37" spans="1:22" ht="15" customHeight="1" x14ac:dyDescent="0.3">
      <c r="C37" s="26">
        <v>22</v>
      </c>
      <c r="D37" s="264">
        <f>+'ADM 1'!D37+'ADM 2'!D37+'LA VILLA'!D37+'LOS ALCARRIZOS'!D37+'LOS MINA'!D37+'LAS CAOBAS'!D37+AZUA!D37+BARAHONA!D37+BAYAGUANA!D37+'BATEY 6'!D37+BOYA!D37+'BOCA CACHON'!D37+'CRISTO REY'!D48+CONSTANZA!D37+CRISTOBAL!D37+DAJABON!D37+'EL SEYBO'!D37+'ELIAS PIÑA'!D37+'LA VEGA'!D37+MAO!D37+'LA ROMANA'!D37+'MONTE PLATA'!D37+MANZANILLO!D37+MONTECRISTI!D37+NAGUA!D37+NAVARRETE!D37+OCOA!D37+NEYBA!D37+PEDERNALES!D37+PEKIN!D37+PLATANITOS!D37+QUISQUEYA!D37+'PUERTO PLATA'!D37+SAMANA!D37+'SAN CRISTOBAL'!D37+'SAN FCO'!D37+'SAN JUAN'!D37+'SAN PEDRO'!D37+'SANTIAGO RDGUEZ'!D37+'VILLA GONZALEZ'!D37+MOCA!D37+'VILLA LIBERACION'!D37+BONAO!D37+GALVAN!D37+BOHECHIO!D37+PARAISO!D37+'ARROYO CANO'!D37+'POSTRER RIO'!D37+'EL YAQUE'!D37+ENRIQUILLO!D37+'HATO MAYOR'!D37+'LOTERIA NAC.'!D37+UASD!D37+HIGUEY!D37</f>
        <v>33</v>
      </c>
      <c r="E37" s="264">
        <f>+'ADM 1'!E37+'ADM 2'!E37+'LA VILLA'!E37+'LOS ALCARRIZOS'!E37+'LOS MINA'!E37+'LAS CAOBAS'!E37+AZUA!E37+BARAHONA!E37+BAYAGUANA!E37+'BATEY 6'!E37+BOYA!E37+'BOCA CACHON'!E37+'CRISTO REY'!E48+CONSTANZA!E37+CRISTOBAL!E37+DAJABON!E37+'EL SEYBO'!E37+'ELIAS PIÑA'!E37+'LA VEGA'!E37+MAO!E37+'LA ROMANA'!E37+'MONTE PLATA'!E37+MANZANILLO!E37+MONTECRISTI!E37+NAGUA!E37+NAVARRETE!E37+OCOA!E37+NEYBA!E37+PEDERNALES!E37+PEKIN!E37+PLATANITOS!E37+QUISQUEYA!E37+'PUERTO PLATA'!E37+SAMANA!E37+'SAN CRISTOBAL'!E37+'SAN FCO'!E37+'SAN JUAN'!E37+'SAN PEDRO'!E37+'SANTIAGO RDGUEZ'!E37+'VILLA GONZALEZ'!E37+MOCA!E37+'VILLA LIBERACION'!E37+BONAO!E37+GALVAN!E37+BOHECHIO!E37+PARAISO!E37+'ARROYO CANO'!E37+'POSTRER RIO'!E37+'EL YAQUE'!E37+ENRIQUILLO!E37+'HATO MAYOR'!E37+'LOTERIA NAC.'!E37+UASD!E37+HIGUEY!E37</f>
        <v>0</v>
      </c>
      <c r="F37" s="318">
        <f t="shared" si="0"/>
        <v>33</v>
      </c>
      <c r="G37" s="266">
        <f>+'ADM 1'!Q37+'ADM 2'!L37+'LOS MINA'!M37+'LA VILLA'!J37+'LOS ALCARRIZOS'!J37+'LAS CAOBAS'!J37+AZUA!J37+BARAHONA!J37+BAYAGUANA!J37+'BATEY 6'!J37+BOYA!J37+'BOCA CACHON'!J37+'CRISTO REY'!J37+CONSTANZA!J37+CRISTOBAL!J37+DAJABON!J37+'EL SEYBO'!J37+'ELIAS PIÑA'!J37+'LA VEGA'!J37+MAO!J37+'LA ROMANA'!J37+'MONTE PLATA'!J37+MANZANILLO!J37+MONTECRISTI!J37+NAGUA!J37+NAVARRETE!J37+OCOA!J37+NEYBA!J37+PEDERNALES!J37+PEKIN!J37+PLATANITOS!J37+QUISQUEYA!J37+'PUERTO PLATA'!J37+SAMANA!J37+'SAN CRISTOBAL'!J37+'SAN FCO'!J37+'SAN JUAN'!J37+'SAN PEDRO'!J37+'SANTIAGO RDGUEZ'!J37+'VILLA GONZALEZ'!J37+MOCA!J37+'VILLA LIBERACION'!J37+BONAO!J37+GALVAN!J37+BOHECHIO!J37+PARAISO!J37+'ARROYO CANO'!J37+'POSTRER RIO'!J37+'EL YAQUE'!J37+ENRIQUILLO!J37+'HATO MAYOR'!J37+'LOTERIA NAC.'!J37+UASD!J37+HIGUEY!J37</f>
        <v>10058</v>
      </c>
      <c r="H37" s="270">
        <f>+'ADM 1'!R37+'ADM 2'!M37+'LOS MINA'!N37+'LA VILLA'!K37+'LOS ALCARRIZOS'!K37+'LAS CAOBAS'!K37+AZUA!K37+BARAHONA!K37+BAYAGUANA!K37+'BATEY 6'!K37+BOYA!K37+'BOCA CACHON'!K37+'CRISTO REY'!K37+CONSTANZA!K37+CRISTOBAL!K37+DAJABON!K37+'EL SEYBO'!K37+'ELIAS PIÑA'!K37+'LA VEGA'!K37+MAO!K37+'LA ROMANA'!K37+'MONTE PLATA'!K37+MANZANILLO!K37+MONTECRISTI!K37+NAGUA!K37+NAVARRETE!K37+OCOA!K37+NEYBA!K37+PEDERNALES!K37+PEKIN!K37+PLATANITOS!K37+QUISQUEYA!K37+'PUERTO PLATA'!K37+SAMANA!K37+'SAN CRISTOBAL'!K37+'SAN FCO'!K37+'SAN JUAN'!K37+'SAN PEDRO'!K37+'SANTIAGO RDGUEZ'!K37+'VILLA GONZALEZ'!K37+MOCA!K37+'VILLA LIBERACION'!K37+BONAO!K37+GALVAN!K37+BOHECHIO!K37+PARAISO!K37+'ARROYO CANO'!K37+'POSTRER RIO'!K37+'EL YAQUE'!K37+ENRIQUILLO!K37+'HATO MAYOR'!K37+'LOTERIA NAC.'!K37+UASD!K37+HIGUEY!K37</f>
        <v>2457</v>
      </c>
      <c r="I37" s="270">
        <f>+'ADM 1'!S37+'ADM 2'!N37+'LOS MINA'!O37+'LA VILLA'!L37+'LOS ALCARRIZOS'!L37+'LAS CAOBAS'!L37+AZUA!L37+BARAHONA!L37+BAYAGUANA!L37+'BATEY 6'!L37+BOYA!L37+'BOCA CACHON'!L37+'CRISTO REY'!L37+CONSTANZA!L37+CRISTOBAL!L37+DAJABON!L37+'EL SEYBO'!L37+'ELIAS PIÑA'!L37+'LA VEGA'!L37+MAO!L37+'LA ROMANA'!L37+'MONTE PLATA'!L37+MANZANILLO!L37+MONTECRISTI!L37+NAGUA!L37+NAVARRETE!L37+OCOA!L37+NEYBA!L37+PEDERNALES!L37+PEKIN!L37+PLATANITOS!L37+QUISQUEYA!L37+'PUERTO PLATA'!L37+SAMANA!L37+'SAN CRISTOBAL'!L37+'SAN FCO'!L37+'SAN JUAN'!L37+'SAN PEDRO'!L37+'SANTIAGO RDGUEZ'!L37+'VILLA GONZALEZ'!L37+MOCA!L37+'VILLA LIBERACION'!L37+BONAO!L37+GALVAN!L37+BOHECHIO!L37+PARAISO!L37+'ARROYO CANO'!L37+'POSTRER RIO'!L37+'EL YAQUE'!L37+ENRIQUILLO!L37+'HATO MAYOR'!L37+'LOTERIA NAC.'!L37+UASD!L37+HIGUEY!L37</f>
        <v>84687</v>
      </c>
      <c r="J37" s="270">
        <f>+'ADM 1'!T37+'ADM 2'!O37+'LOS MINA'!P37+'LA VILLA'!M37+'LOS ALCARRIZOS'!M37+'LAS CAOBAS'!M37+AZUA!M37+BARAHONA!M37+BAYAGUANA!M37+'BATEY 6'!M37+BOYA!M37+'BOCA CACHON'!M37+'CRISTO REY'!M37+CONSTANZA!M37+CRISTOBAL!M37+DAJABON!M37+'EL SEYBO'!M37+'ELIAS PIÑA'!M37+'LA VEGA'!M37+MAO!M37+'LA ROMANA'!M37+'MONTE PLATA'!M37+MANZANILLO!M37+MONTECRISTI!M37+NAGUA!M37+NAVARRETE!M37+OCOA!M37+NEYBA!M37+PEDERNALES!M37+PEKIN!M37+PLATANITOS!M37+QUISQUEYA!M37+'PUERTO PLATA'!M37+SAMANA!M37+'SAN CRISTOBAL'!M37+'SAN FCO'!M37+'SAN JUAN'!M37+'SAN PEDRO'!M37+'SANTIAGO RDGUEZ'!M37+'VILLA GONZALEZ'!M37+MOCA!M37+'VILLA LIBERACION'!M37+BONAO!M37+GALVAN!M37+BOHECHIO!M37+PARAISO!M37+'ARROYO CANO'!M37+'POSTRER RIO'!M37+'EL YAQUE'!M37+ENRIQUILLO!M37+'HATO MAYOR'!M37+'LOTERIA NAC.'!M37+UASD!M37+HIGUEY!M37</f>
        <v>5038</v>
      </c>
      <c r="K37" s="256">
        <f t="shared" si="1"/>
        <v>92182</v>
      </c>
      <c r="L37" s="269">
        <f>+'ADM 1'!V37+'ADM 2'!Q37+'LA VILLA'!O37+'LOS ALCARRIZOS'!O37+'LOS MINA'!R37+'LAS CAOBAS'!O37+AZUA!O37+BARAHONA!O37+BAYAGUANA!O37+'BATEY 6'!O37+BOYA!O37+'BOCA CACHON'!O37+'CRISTO REY'!O48+CONSTANZA!O37+CRISTOBAL!O37+DAJABON!O37+'EL SEYBO'!O37+'ELIAS PIÑA'!O37+'LA VEGA'!O37+MAO!O37+'LA ROMANA'!O37+'MONTE PLATA'!O37+MANZANILLO!O37+MONTECRISTI!O37+NAGUA!O37+NAVARRETE!O37+OCOA!O37+NEYBA!O37+PEDERNALES!O37+PEKIN!O37+PLATANITOS!O37+QUISQUEYA!O37+'PUERTO PLATA'!O37+SAMANA!O37+'SAN CRISTOBAL'!O37+'SAN FCO'!O37+'SAN JUAN'!O37+'SAN PEDRO'!O37+'SANTIAGO RDGUEZ'!O37+'VILLA GONZALEZ'!O37+MOCA!O37+'VILLA LIBERACION'!O37+BONAO!O37+GALVAN!O37+BOHECHIO!O38+PARAISO!O37+'ARROYO CANO'!O37+'POSTRER RIO'!O37+'EL YAQUE'!O37+ENRIQUILLO!O37+'HATO MAYOR'!O37+'LOTERIA NAC.'!O37+UASD!O37+HIGUEY!O37</f>
        <v>0</v>
      </c>
      <c r="M37" s="269">
        <f>+'ADM 1'!W37+'ADM 2'!R37+'LA VILLA'!P37+'LOS ALCARRIZOS'!P37+'LOS MINA'!S37+'LAS CAOBAS'!P37+AZUA!P37+BARAHONA!P37+BAYAGUANA!P37+'BATEY 6'!P37+BOYA!P37+'BOCA CACHON'!P37+'CRISTO REY'!P48+CONSTANZA!P37+CRISTOBAL!P37+DAJABON!P37+'EL SEYBO'!P37+'ELIAS PIÑA'!P37+'LA VEGA'!P37+MAO!P37+'LA ROMANA'!P37+'MONTE PLATA'!P37+MANZANILLO!P37+MONTECRISTI!P37+NAGUA!P37+NAVARRETE!P37+OCOA!P37+NEYBA!P37+PEDERNALES!P37+PEKIN!P37+PLATANITOS!P37+QUISQUEYA!P37+'PUERTO PLATA'!P37+SAMANA!P37+'SAN CRISTOBAL'!P37+'SAN FCO'!P37+'SAN JUAN'!P37+'SAN PEDRO'!P37+'SANTIAGO RDGUEZ'!P37+'VILLA GONZALEZ'!P37+MOCA!P37+'VILLA LIBERACION'!P37+BONAO!P37+GALVAN!P37+BOHECHIO!P38+PARAISO!P37+'ARROYO CANO'!P37+'POSTRER RIO'!P37+'EL YAQUE'!P37+ENRIQUILLO!P37+'HATO MAYOR'!P37+'LOTERIA NAC.'!P37+UASD!P37+HIGUEY!P37</f>
        <v>0</v>
      </c>
      <c r="N37" s="187">
        <f t="shared" si="2"/>
        <v>92182</v>
      </c>
      <c r="O37" s="183">
        <f t="shared" si="3"/>
        <v>102273</v>
      </c>
      <c r="S37" s="70"/>
      <c r="T37" s="3"/>
      <c r="U37" s="3"/>
      <c r="V37" s="70">
        <f t="shared" si="4"/>
        <v>0</v>
      </c>
    </row>
    <row r="38" spans="1:22" ht="15" customHeight="1" x14ac:dyDescent="0.3">
      <c r="C38" s="26">
        <v>23</v>
      </c>
      <c r="D38" s="264">
        <f>+'ADM 1'!D38+'ADM 2'!D38+'LA VILLA'!D38+'LOS ALCARRIZOS'!D38+'LOS MINA'!D38+'LAS CAOBAS'!D38+AZUA!D38+BARAHONA!D38+BAYAGUANA!D38+'BATEY 6'!D38+BOYA!D38+'BOCA CACHON'!D38+'CRISTO REY'!D49+CONSTANZA!D38+CRISTOBAL!D38+DAJABON!D38+'EL SEYBO'!D38+'ELIAS PIÑA'!D38+'LA VEGA'!D38+MAO!D38+'LA ROMANA'!D38+'MONTE PLATA'!D38+MANZANILLO!D38+MONTECRISTI!D38+NAGUA!D38+NAVARRETE!D38+OCOA!D38+NEYBA!D38+PEDERNALES!D38+PEKIN!D38+PLATANITOS!D38+QUISQUEYA!D38+'PUERTO PLATA'!D38+SAMANA!D38+'SAN CRISTOBAL'!D38+'SAN FCO'!D38+'SAN JUAN'!D38+'SAN PEDRO'!D38+'SANTIAGO RDGUEZ'!D38+'VILLA GONZALEZ'!D38+MOCA!D38+'VILLA LIBERACION'!D38+BONAO!D38+GALVAN!D38+BOHECHIO!D38+PARAISO!D38+'ARROYO CANO'!D38+'POSTRER RIO'!D38+'EL YAQUE'!D38+ENRIQUILLO!D38+'HATO MAYOR'!D38+'LOTERIA NAC.'!D38+UASD!D38+HIGUEY!D38</f>
        <v>24</v>
      </c>
      <c r="E38" s="264">
        <f>+'ADM 1'!E38+'ADM 2'!E38+'LA VILLA'!E38+'LOS ALCARRIZOS'!E38+'LOS MINA'!E38+'LAS CAOBAS'!E38+AZUA!E38+BARAHONA!E38+BAYAGUANA!E38+'BATEY 6'!E38+BOYA!E38+'BOCA CACHON'!E38+'CRISTO REY'!E49+CONSTANZA!E38+CRISTOBAL!E38+DAJABON!E38+'EL SEYBO'!E38+'ELIAS PIÑA'!E38+'LA VEGA'!E38+MAO!E38+'LA ROMANA'!E38+'MONTE PLATA'!E38+MANZANILLO!E38+MONTECRISTI!E38+NAGUA!E38+NAVARRETE!E38+OCOA!E38+NEYBA!E38+PEDERNALES!E38+PEKIN!E38+PLATANITOS!E38+QUISQUEYA!E38+'PUERTO PLATA'!E38+SAMANA!E38+'SAN CRISTOBAL'!E38+'SAN FCO'!E38+'SAN JUAN'!E38+'SAN PEDRO'!E38+'SANTIAGO RDGUEZ'!E38+'VILLA GONZALEZ'!E38+MOCA!E38+'VILLA LIBERACION'!E38+BONAO!E38+GALVAN!E38+BOHECHIO!E38+PARAISO!E38+'ARROYO CANO'!E38+'POSTRER RIO'!E38+'EL YAQUE'!E38+ENRIQUILLO!E38+'HATO MAYOR'!E38+'LOTERIA NAC.'!E38+UASD!E38+HIGUEY!E38</f>
        <v>0</v>
      </c>
      <c r="F38" s="318">
        <f t="shared" si="0"/>
        <v>24</v>
      </c>
      <c r="G38" s="266">
        <f>+'ADM 1'!Q38+'ADM 2'!L38+'LOS MINA'!M38+'LA VILLA'!J38+'LOS ALCARRIZOS'!J38+'LAS CAOBAS'!J38+AZUA!J38+BARAHONA!J38+BAYAGUANA!J38+'BATEY 6'!J38+BOYA!J38+'BOCA CACHON'!J38+'CRISTO REY'!J38+CONSTANZA!J38+CRISTOBAL!J38+DAJABON!J38+'EL SEYBO'!J38+'ELIAS PIÑA'!J38+'LA VEGA'!J38+MAO!J38+'LA ROMANA'!J38+'MONTE PLATA'!J38+MANZANILLO!J38+MONTECRISTI!J38+NAGUA!J38+NAVARRETE!J38+OCOA!J38+NEYBA!J38+PEDERNALES!J38+PEKIN!J38+PLATANITOS!J38+QUISQUEYA!J38+'PUERTO PLATA'!J38+SAMANA!J38+'SAN CRISTOBAL'!J38+'SAN FCO'!J38+'SAN JUAN'!J38+'SAN PEDRO'!J38+'SANTIAGO RDGUEZ'!J38+'VILLA GONZALEZ'!J38+MOCA!J38+'VILLA LIBERACION'!J38+BONAO!J38+GALVAN!J38+BOHECHIO!J38+PARAISO!J38+'ARROYO CANO'!J38+'POSTRER RIO'!J38+'EL YAQUE'!J38+ENRIQUILLO!J38+'HATO MAYOR'!J38+'LOTERIA NAC.'!J38+UASD!J38+HIGUEY!J38</f>
        <v>10082</v>
      </c>
      <c r="H38" s="270">
        <f>+'ADM 1'!R38+'ADM 2'!M38+'LOS MINA'!N38+'LA VILLA'!K38+'LOS ALCARRIZOS'!K38+'LAS CAOBAS'!K38+AZUA!K38+BARAHONA!K38+BAYAGUANA!K38+'BATEY 6'!K38+BOYA!K38+'BOCA CACHON'!K38+'CRISTO REY'!K38+CONSTANZA!K38+CRISTOBAL!K38+DAJABON!K38+'EL SEYBO'!K38+'ELIAS PIÑA'!K38+'LA VEGA'!K38+MAO!K38+'LA ROMANA'!K38+'MONTE PLATA'!K38+MANZANILLO!K38+MONTECRISTI!K38+NAGUA!K38+NAVARRETE!K38+OCOA!K38+NEYBA!K38+PEDERNALES!K38+PEKIN!K38+PLATANITOS!K38+QUISQUEYA!K38+'PUERTO PLATA'!K38+SAMANA!K38+'SAN CRISTOBAL'!K38+'SAN FCO'!K38+'SAN JUAN'!K38+'SAN PEDRO'!K38+'SANTIAGO RDGUEZ'!K38+'VILLA GONZALEZ'!K38+MOCA!K38+'VILLA LIBERACION'!K38+BONAO!K38+GALVAN!K38+BOHECHIO!K38+PARAISO!K38+'ARROYO CANO'!K38+'POSTRER RIO'!K38+'EL YAQUE'!K38+ENRIQUILLO!K38+'HATO MAYOR'!K38+'LOTERIA NAC.'!K38+UASD!K38+HIGUEY!K38</f>
        <v>2428</v>
      </c>
      <c r="I38" s="270">
        <f>+'ADM 1'!S38+'ADM 2'!N38+'LOS MINA'!O38+'LA VILLA'!L38+'LOS ALCARRIZOS'!L38+'LAS CAOBAS'!L38+AZUA!L38+BARAHONA!L38+BAYAGUANA!L38+'BATEY 6'!L38+BOYA!L38+'BOCA CACHON'!L38+'CRISTO REY'!L38+CONSTANZA!L38+CRISTOBAL!L38+DAJABON!L38+'EL SEYBO'!L38+'ELIAS PIÑA'!L38+'LA VEGA'!L38+MAO!L38+'LA ROMANA'!L38+'MONTE PLATA'!L38+MANZANILLO!L38+MONTECRISTI!L38+NAGUA!L38+NAVARRETE!L38+OCOA!L38+NEYBA!L38+PEDERNALES!L38+PEKIN!L38+PLATANITOS!L38+QUISQUEYA!L38+'PUERTO PLATA'!L38+SAMANA!L38+'SAN CRISTOBAL'!L38+'SAN FCO'!L38+'SAN JUAN'!L38+'SAN PEDRO'!L38+'SANTIAGO RDGUEZ'!L38+'VILLA GONZALEZ'!L38+MOCA!L38+'VILLA LIBERACION'!L38+BONAO!L38+GALVAN!L38+BOHECHIO!L38+PARAISO!L38+'ARROYO CANO'!L38+'POSTRER RIO'!L38+'EL YAQUE'!L38+ENRIQUILLO!L38+'HATO MAYOR'!L38+'LOTERIA NAC.'!L38+UASD!L38+HIGUEY!L38</f>
        <v>87638</v>
      </c>
      <c r="J38" s="270">
        <f>+'ADM 1'!T38+'ADM 2'!O38+'LOS MINA'!P38+'LA VILLA'!M38+'LOS ALCARRIZOS'!M38+'LAS CAOBAS'!M38+AZUA!M38+BARAHONA!M38+BAYAGUANA!M38+'BATEY 6'!M38+BOYA!M38+'BOCA CACHON'!M38+'CRISTO REY'!M38+CONSTANZA!M38+CRISTOBAL!M38+DAJABON!M38+'EL SEYBO'!M38+'ELIAS PIÑA'!M38+'LA VEGA'!M38+MAO!M38+'LA ROMANA'!M38+'MONTE PLATA'!M38+MANZANILLO!M38+MONTECRISTI!M38+NAGUA!M38+NAVARRETE!M38+OCOA!M38+NEYBA!M38+PEDERNALES!M38+PEKIN!M38+PLATANITOS!M38+QUISQUEYA!M38+'PUERTO PLATA'!M38+SAMANA!M38+'SAN CRISTOBAL'!M38+'SAN FCO'!M38+'SAN JUAN'!M38+'SAN PEDRO'!M38+'SANTIAGO RDGUEZ'!M38+'VILLA GONZALEZ'!M38+MOCA!M38+'VILLA LIBERACION'!M38+BONAO!M38+GALVAN!M38+BOHECHIO!M38+PARAISO!M38+'ARROYO CANO'!M38+'POSTRER RIO'!M38+'EL YAQUE'!M38+ENRIQUILLO!M38+'HATO MAYOR'!M38+'LOTERIA NAC.'!M38+UASD!M38+HIGUEY!M38</f>
        <v>3859</v>
      </c>
      <c r="K38" s="256">
        <f t="shared" si="1"/>
        <v>93925</v>
      </c>
      <c r="L38" s="269">
        <f>+'ADM 1'!V38+'ADM 2'!Q38+'LA VILLA'!O38+'LOS ALCARRIZOS'!O38+'LOS MINA'!R38+'LAS CAOBAS'!O38+AZUA!O38+BARAHONA!O38+BAYAGUANA!O38+'BATEY 6'!O38+BOYA!O38+'BOCA CACHON'!O38+'CRISTO REY'!O49+CONSTANZA!O38+CRISTOBAL!O38+DAJABON!O38+'EL SEYBO'!O38+'ELIAS PIÑA'!O38+'LA VEGA'!O38+MAO!O38+'LA ROMANA'!O38+'MONTE PLATA'!O38+MANZANILLO!O38+MONTECRISTI!O38+NAGUA!O38+NAVARRETE!O38+OCOA!O38+NEYBA!O38+PEDERNALES!O38+PEKIN!O38+PLATANITOS!O38+QUISQUEYA!O38+'PUERTO PLATA'!O38+SAMANA!O38+'SAN CRISTOBAL'!O38+'SAN FCO'!O38+'SAN JUAN'!O38+'SAN PEDRO'!O38+'SANTIAGO RDGUEZ'!O38+'VILLA GONZALEZ'!O38+MOCA!O38+'VILLA LIBERACION'!O38+BONAO!O38+GALVAN!O38+BOHECHIO!O39+PARAISO!O38+'ARROYO CANO'!O38+'POSTRER RIO'!O38+'EL YAQUE'!O38+ENRIQUILLO!O38+'HATO MAYOR'!O38+'LOTERIA NAC.'!O38+UASD!O38+HIGUEY!O38</f>
        <v>0</v>
      </c>
      <c r="M38" s="269">
        <f>+'ADM 1'!W38+'ADM 2'!R38+'LA VILLA'!P38+'LOS ALCARRIZOS'!P38+'LOS MINA'!S38+'LAS CAOBAS'!P38+AZUA!P38+BARAHONA!P38+BAYAGUANA!P38+'BATEY 6'!P38+BOYA!P38+'BOCA CACHON'!P38+'CRISTO REY'!P49+CONSTANZA!P38+CRISTOBAL!P38+DAJABON!P38+'EL SEYBO'!P38+'ELIAS PIÑA'!P38+'LA VEGA'!P38+MAO!P38+'LA ROMANA'!P38+'MONTE PLATA'!P38+MANZANILLO!P38+MONTECRISTI!P38+NAGUA!P38+NAVARRETE!P38+OCOA!P38+NEYBA!P38+PEDERNALES!P38+PEKIN!P38+PLATANITOS!P38+QUISQUEYA!P38+'PUERTO PLATA'!P38+SAMANA!P38+'SAN CRISTOBAL'!P38+'SAN FCO'!P38+'SAN JUAN'!P38+'SAN PEDRO'!P38+'SANTIAGO RDGUEZ'!P38+'VILLA GONZALEZ'!P38+MOCA!P38+'VILLA LIBERACION'!P38+BONAO!P38+GALVAN!P38+BOHECHIO!P39+PARAISO!P38+'ARROYO CANO'!P38+'POSTRER RIO'!P38+'EL YAQUE'!P38+ENRIQUILLO!P38+'HATO MAYOR'!P38+'LOTERIA NAC.'!P38+UASD!P38+HIGUEY!P38</f>
        <v>0</v>
      </c>
      <c r="N38" s="187">
        <f t="shared" si="2"/>
        <v>93925</v>
      </c>
      <c r="O38" s="183">
        <f t="shared" si="3"/>
        <v>104031</v>
      </c>
      <c r="S38" s="70"/>
      <c r="T38" s="3"/>
      <c r="U38" s="3"/>
      <c r="V38" s="70">
        <f t="shared" si="4"/>
        <v>0</v>
      </c>
    </row>
    <row r="39" spans="1:22" ht="15" customHeight="1" x14ac:dyDescent="0.3">
      <c r="C39" s="26">
        <v>24</v>
      </c>
      <c r="D39" s="264">
        <f>+'ADM 1'!D39+'ADM 2'!D39+'LA VILLA'!D39+'LOS ALCARRIZOS'!D39+'LOS MINA'!D39+'LAS CAOBAS'!D39+AZUA!D39+BARAHONA!D39+BAYAGUANA!D39+'BATEY 6'!D39+BOYA!D39+'BOCA CACHON'!D39+'CRISTO REY'!D50+CONSTANZA!D39+CRISTOBAL!D39+DAJABON!D39+'EL SEYBO'!D39+'ELIAS PIÑA'!D39+'LA VEGA'!D39+MAO!D39+'LA ROMANA'!D39+'MONTE PLATA'!D39+MANZANILLO!D39+MONTECRISTI!D39+NAGUA!D39+NAVARRETE!D39+OCOA!D39+NEYBA!D39+PEDERNALES!D39+PEKIN!D39+PLATANITOS!D39+QUISQUEYA!D39+'PUERTO PLATA'!D39+SAMANA!D39+'SAN CRISTOBAL'!D39+'SAN FCO'!D39+'SAN JUAN'!D39+'SAN PEDRO'!D39+'SANTIAGO RDGUEZ'!D39+'VILLA GONZALEZ'!D39+MOCA!D39+'VILLA LIBERACION'!D39+BONAO!D39+GALVAN!D39+BOHECHIO!D39+PARAISO!D39+'ARROYO CANO'!D39+'POSTRER RIO'!D39+'EL YAQUE'!D39+ENRIQUILLO!D39+'HATO MAYOR'!D39+'LOTERIA NAC.'!D39+UASD!D39+HIGUEY!D39</f>
        <v>0</v>
      </c>
      <c r="E39" s="264">
        <f>+'ADM 1'!E39+'ADM 2'!E39+'LA VILLA'!E39+'LOS ALCARRIZOS'!E39+'LOS MINA'!E39+'LAS CAOBAS'!E39+AZUA!E39+BARAHONA!E39+BAYAGUANA!E39+'BATEY 6'!E39+BOYA!E39+'BOCA CACHON'!E39+'CRISTO REY'!E50+CONSTANZA!E39+CRISTOBAL!E39+DAJABON!E39+'EL SEYBO'!E39+'ELIAS PIÑA'!E39+'LA VEGA'!E39+MAO!E39+'LA ROMANA'!E39+'MONTE PLATA'!E39+MANZANILLO!E39+MONTECRISTI!E39+NAGUA!E39+NAVARRETE!E39+OCOA!E39+NEYBA!E39+PEDERNALES!E39+PEKIN!E39+PLATANITOS!E39+QUISQUEYA!E39+'PUERTO PLATA'!E39+SAMANA!E39+'SAN CRISTOBAL'!E39+'SAN FCO'!E39+'SAN JUAN'!E39+'SAN PEDRO'!E39+'SANTIAGO RDGUEZ'!E39+'VILLA GONZALEZ'!E39+MOCA!E39+'VILLA LIBERACION'!E39+BONAO!E39+GALVAN!E39+BOHECHIO!E39+PARAISO!E39+'ARROYO CANO'!E39+'POSTRER RIO'!E39+'EL YAQUE'!E39+ENRIQUILLO!E39+'HATO MAYOR'!E39+'LOTERIA NAC.'!E39+UASD!E39+HIGUEY!E39</f>
        <v>0</v>
      </c>
      <c r="F39" s="318">
        <f t="shared" si="0"/>
        <v>0</v>
      </c>
      <c r="G39" s="266">
        <f>+'ADM 1'!Q39+'ADM 2'!L39+'LOS MINA'!M39+'LA VILLA'!J39+'LOS ALCARRIZOS'!J39+'LAS CAOBAS'!J39+AZUA!J39+BARAHONA!J39+BAYAGUANA!J39+'BATEY 6'!J39+BOYA!J39+'BOCA CACHON'!J39+'CRISTO REY'!J39+CONSTANZA!J39+CRISTOBAL!J39+DAJABON!J39+'EL SEYBO'!J39+'ELIAS PIÑA'!J39+'LA VEGA'!J39+MAO!J39+'LA ROMANA'!J39+'MONTE PLATA'!J39+MANZANILLO!J39+MONTECRISTI!J39+NAGUA!J39+NAVARRETE!J39+OCOA!J39+NEYBA!J39+PEDERNALES!J39+PEKIN!J39+PLATANITOS!J39+QUISQUEYA!J39+'PUERTO PLATA'!J39+SAMANA!J39+'SAN CRISTOBAL'!J39+'SAN FCO'!J39+'SAN JUAN'!J39+'SAN PEDRO'!J39+'SANTIAGO RDGUEZ'!J39+'VILLA GONZALEZ'!J39+MOCA!J39+'VILLA LIBERACION'!J39+BONAO!J39+GALVAN!J39+BOHECHIO!J39+PARAISO!J39+'ARROYO CANO'!J39+'POSTRER RIO'!J39+'EL YAQUE'!J39+ENRIQUILLO!J39+'HATO MAYOR'!J39+'LOTERIA NAC.'!J39+UASD!J39+HIGUEY!J39</f>
        <v>8360</v>
      </c>
      <c r="H39" s="270">
        <f>+'ADM 1'!R39+'ADM 2'!M39+'LOS MINA'!N39+'LA VILLA'!K39+'LOS ALCARRIZOS'!K39+'LAS CAOBAS'!K39+AZUA!K39+BARAHONA!K39+BAYAGUANA!K39+'BATEY 6'!K39+BOYA!K39+'BOCA CACHON'!K39+'CRISTO REY'!K39+CONSTANZA!K39+CRISTOBAL!K39+DAJABON!K39+'EL SEYBO'!K39+'ELIAS PIÑA'!K39+'LA VEGA'!K39+MAO!K39+'LA ROMANA'!K39+'MONTE PLATA'!K39+MANZANILLO!K39+MONTECRISTI!K39+NAGUA!K39+NAVARRETE!K39+OCOA!K39+NEYBA!K39+PEDERNALES!K39+PEKIN!K39+PLATANITOS!K39+QUISQUEYA!K39+'PUERTO PLATA'!K39+SAMANA!K39+'SAN CRISTOBAL'!K39+'SAN FCO'!K39+'SAN JUAN'!K39+'SAN PEDRO'!K39+'SANTIAGO RDGUEZ'!K39+'VILLA GONZALEZ'!K39+MOCA!K39+'VILLA LIBERACION'!K39+BONAO!K39+GALVAN!K39+BOHECHIO!K39+PARAISO!K39+'ARROYO CANO'!K39+'POSTRER RIO'!K39+'EL YAQUE'!K39+ENRIQUILLO!K39+'HATO MAYOR'!K39+'LOTERIA NAC.'!K39+UASD!K39+HIGUEY!K39</f>
        <v>642</v>
      </c>
      <c r="I39" s="270">
        <f>+'ADM 1'!S39+'ADM 2'!N39+'LOS MINA'!O39+'LA VILLA'!L39+'LOS ALCARRIZOS'!L39+'LAS CAOBAS'!L39+AZUA!L39+BARAHONA!L39+BAYAGUANA!L39+'BATEY 6'!L39+BOYA!L39+'BOCA CACHON'!L39+'CRISTO REY'!L39+CONSTANZA!L39+CRISTOBAL!L39+DAJABON!L39+'EL SEYBO'!L39+'ELIAS PIÑA'!L39+'LA VEGA'!L39+MAO!L39+'LA ROMANA'!L39+'MONTE PLATA'!L39+MANZANILLO!L39+MONTECRISTI!L39+NAGUA!L39+NAVARRETE!L39+OCOA!L39+NEYBA!L39+PEDERNALES!L39+PEKIN!L39+PLATANITOS!L39+QUISQUEYA!L39+'PUERTO PLATA'!L39+SAMANA!L39+'SAN CRISTOBAL'!L39+'SAN FCO'!L39+'SAN JUAN'!L39+'SAN PEDRO'!L39+'SANTIAGO RDGUEZ'!L39+'VILLA GONZALEZ'!L39+MOCA!L39+'VILLA LIBERACION'!L39+BONAO!L39+GALVAN!L39+BOHECHIO!L39+PARAISO!L39+'ARROYO CANO'!L39+'POSTRER RIO'!L39+'EL YAQUE'!L39+ENRIQUILLO!L39+'HATO MAYOR'!L39+'LOTERIA NAC.'!L39+UASD!L39+HIGUEY!L39</f>
        <v>17645</v>
      </c>
      <c r="J39" s="270">
        <f>+'ADM 1'!T39+'ADM 2'!O39+'LOS MINA'!P39+'LA VILLA'!M39+'LOS ALCARRIZOS'!M39+'LAS CAOBAS'!M39+AZUA!M39+BARAHONA!M39+BAYAGUANA!M39+'BATEY 6'!M39+BOYA!M39+'BOCA CACHON'!M39+'CRISTO REY'!M39+CONSTANZA!M39+CRISTOBAL!M39+DAJABON!M39+'EL SEYBO'!M39+'ELIAS PIÑA'!M39+'LA VEGA'!M39+MAO!M39+'LA ROMANA'!M39+'MONTE PLATA'!M39+MANZANILLO!M39+MONTECRISTI!M39+NAGUA!M39+NAVARRETE!M39+OCOA!M39+NEYBA!M39+PEDERNALES!M39+PEKIN!M39+PLATANITOS!M39+QUISQUEYA!M39+'PUERTO PLATA'!M39+SAMANA!M39+'SAN CRISTOBAL'!M39+'SAN FCO'!M39+'SAN JUAN'!M39+'SAN PEDRO'!M39+'SANTIAGO RDGUEZ'!M39+'VILLA GONZALEZ'!M39+MOCA!M39+'VILLA LIBERACION'!M39+BONAO!M39+GALVAN!M39+BOHECHIO!M39+PARAISO!M39+'ARROYO CANO'!M39+'POSTRER RIO'!M39+'EL YAQUE'!M39+ENRIQUILLO!M39+'HATO MAYOR'!M39+'LOTERIA NAC.'!M39+UASD!M39+HIGUEY!M39</f>
        <v>0</v>
      </c>
      <c r="K39" s="256">
        <f t="shared" si="1"/>
        <v>18287</v>
      </c>
      <c r="L39" s="269">
        <f>+'ADM 1'!V39+'ADM 2'!Q39+'LA VILLA'!O39+'LOS ALCARRIZOS'!O39+'LOS MINA'!R39+'LAS CAOBAS'!O39+AZUA!O39+BARAHONA!O39+BAYAGUANA!O39+'BATEY 6'!O39+BOYA!O39+'BOCA CACHON'!O39+'CRISTO REY'!O50+CONSTANZA!O39+CRISTOBAL!O39+DAJABON!O39+'EL SEYBO'!O39+'ELIAS PIÑA'!O39+'LA VEGA'!O39+MAO!O39+'LA ROMANA'!O39+'MONTE PLATA'!O39+MANZANILLO!O39+MONTECRISTI!O39+NAGUA!O39+NAVARRETE!O39+OCOA!O39+NEYBA!O39+PEDERNALES!O39+PEKIN!O39+PLATANITOS!O39+QUISQUEYA!O39+'PUERTO PLATA'!O39+SAMANA!O39+'SAN CRISTOBAL'!O39+'SAN FCO'!O39+'SAN JUAN'!O39+'SAN PEDRO'!O39+'SANTIAGO RDGUEZ'!O39+'VILLA GONZALEZ'!O39+MOCA!O39+'VILLA LIBERACION'!O39+BONAO!O39+GALVAN!O39+BOHECHIO!O40+PARAISO!O39+'ARROYO CANO'!O39+'POSTRER RIO'!O39+'EL YAQUE'!O39+ENRIQUILLO!O39+'HATO MAYOR'!O39+'LOTERIA NAC.'!O39+UASD!O39+HIGUEY!O39</f>
        <v>0</v>
      </c>
      <c r="M39" s="269">
        <f>+'ADM 1'!W39+'ADM 2'!R39+'LA VILLA'!P39+'LOS ALCARRIZOS'!P39+'LOS MINA'!S39+'LAS CAOBAS'!P39+AZUA!P39+BARAHONA!P39+BAYAGUANA!P39+'BATEY 6'!P39+BOYA!P39+'BOCA CACHON'!P39+'CRISTO REY'!P50+CONSTANZA!P39+CRISTOBAL!P39+DAJABON!P39+'EL SEYBO'!P39+'ELIAS PIÑA'!P39+'LA VEGA'!P39+MAO!P39+'LA ROMANA'!P39+'MONTE PLATA'!P39+MANZANILLO!P39+MONTECRISTI!P39+NAGUA!P39+NAVARRETE!P39+OCOA!P39+NEYBA!P39+PEDERNALES!P39+PEKIN!P39+PLATANITOS!P39+QUISQUEYA!P39+'PUERTO PLATA'!P39+SAMANA!P39+'SAN CRISTOBAL'!P39+'SAN FCO'!P39+'SAN JUAN'!P39+'SAN PEDRO'!P39+'SANTIAGO RDGUEZ'!P39+'VILLA GONZALEZ'!P39+MOCA!P39+'VILLA LIBERACION'!P39+BONAO!P39+GALVAN!P39+BOHECHIO!P40+PARAISO!P39+'ARROYO CANO'!P39+'POSTRER RIO'!P39+'EL YAQUE'!P39+ENRIQUILLO!P39+'HATO MAYOR'!P39+'LOTERIA NAC.'!P39+UASD!P39+HIGUEY!P39</f>
        <v>0</v>
      </c>
      <c r="N39" s="187">
        <f t="shared" si="2"/>
        <v>18287</v>
      </c>
      <c r="O39" s="183">
        <f t="shared" si="3"/>
        <v>26647</v>
      </c>
      <c r="S39" s="70"/>
      <c r="T39" s="3"/>
      <c r="U39" s="3"/>
      <c r="V39" s="70">
        <f t="shared" si="4"/>
        <v>0</v>
      </c>
    </row>
    <row r="40" spans="1:22" ht="15" customHeight="1" x14ac:dyDescent="0.3">
      <c r="C40" s="26">
        <v>25</v>
      </c>
      <c r="D40" s="264">
        <f>+'ADM 1'!D40+'ADM 2'!D40+'LA VILLA'!D40+'LOS ALCARRIZOS'!D40+'LOS MINA'!D40+'LAS CAOBAS'!D40+AZUA!D40+BARAHONA!D40+BAYAGUANA!D40+'BATEY 6'!D40+BOYA!D40+'BOCA CACHON'!D40+'CRISTO REY'!D51+CONSTANZA!D40+CRISTOBAL!D40+DAJABON!D40+'EL SEYBO'!D40+'ELIAS PIÑA'!D40+'LA VEGA'!D40+MAO!D40+'LA ROMANA'!D40+'MONTE PLATA'!D40+MANZANILLO!D40+MONTECRISTI!D40+NAGUA!D40+NAVARRETE!D40+OCOA!D40+NEYBA!D40+PEDERNALES!D40+PEKIN!D40+PLATANITOS!D40+QUISQUEYA!D40+'PUERTO PLATA'!D40+SAMANA!D40+'SAN CRISTOBAL'!D40+'SAN FCO'!D40+'SAN JUAN'!D40+'SAN PEDRO'!D40+'SANTIAGO RDGUEZ'!D40+'VILLA GONZALEZ'!D40+MOCA!D40+'VILLA LIBERACION'!D40+BONAO!D40+GALVAN!D40+BOHECHIO!D40+PARAISO!D40+'ARROYO CANO'!D40+'POSTRER RIO'!D40+'EL YAQUE'!D40+ENRIQUILLO!D40+'HATO MAYOR'!D40+'LOTERIA NAC.'!D40+UASD!D40+HIGUEY!D40</f>
        <v>0</v>
      </c>
      <c r="E40" s="264">
        <f>+'ADM 1'!E40+'ADM 2'!E40+'LA VILLA'!E40+'LOS ALCARRIZOS'!E40+'LOS MINA'!E40+'LAS CAOBAS'!E40+AZUA!E40+BARAHONA!E40+BAYAGUANA!E40+'BATEY 6'!E40+BOYA!E40+'BOCA CACHON'!E40+'CRISTO REY'!E51+CONSTANZA!E40+CRISTOBAL!E40+DAJABON!E40+'EL SEYBO'!E40+'ELIAS PIÑA'!E40+'LA VEGA'!E40+MAO!E40+'LA ROMANA'!E40+'MONTE PLATA'!E40+MANZANILLO!E40+MONTECRISTI!E40+NAGUA!E40+NAVARRETE!E40+OCOA!E40+NEYBA!E40+PEDERNALES!E40+PEKIN!E40+PLATANITOS!E40+QUISQUEYA!E40+'PUERTO PLATA'!E40+SAMANA!E40+'SAN CRISTOBAL'!E40+'SAN FCO'!E40+'SAN JUAN'!E40+'SAN PEDRO'!E40+'SANTIAGO RDGUEZ'!E40+'VILLA GONZALEZ'!E40+MOCA!E40+'VILLA LIBERACION'!E40+BONAO!E40+GALVAN!E40+BOHECHIO!E40+PARAISO!E40+'ARROYO CANO'!E40+'POSTRER RIO'!E40+'EL YAQUE'!E40+ENRIQUILLO!E40+'HATO MAYOR'!E40+'LOTERIA NAC.'!E40+UASD!E40+HIGUEY!E40</f>
        <v>0</v>
      </c>
      <c r="F40" s="318">
        <f t="shared" si="0"/>
        <v>0</v>
      </c>
      <c r="G40" s="266">
        <f>+'ADM 1'!Q40+'ADM 2'!L40+'LOS MINA'!M40+'LA VILLA'!J40+'LOS ALCARRIZOS'!J40+'LAS CAOBAS'!J40+AZUA!J40+BARAHONA!J40+BAYAGUANA!J40+'BATEY 6'!J40+BOYA!J40+'BOCA CACHON'!J40+'CRISTO REY'!J40+CONSTANZA!J40+CRISTOBAL!J40+DAJABON!J40+'EL SEYBO'!J40+'ELIAS PIÑA'!J40+'LA VEGA'!J40+MAO!J40+'LA ROMANA'!J40+'MONTE PLATA'!J40+MANZANILLO!J40+MONTECRISTI!J40+NAGUA!J40+NAVARRETE!J40+OCOA!J40+NEYBA!J40+PEDERNALES!J40+PEKIN!J40+PLATANITOS!J40+QUISQUEYA!J40+'PUERTO PLATA'!J40+SAMANA!J40+'SAN CRISTOBAL'!J40+'SAN FCO'!J40+'SAN JUAN'!J40+'SAN PEDRO'!J40+'SANTIAGO RDGUEZ'!J40+'VILLA GONZALEZ'!J40+MOCA!J40+'VILLA LIBERACION'!J40+BONAO!J40+GALVAN!J40+BOHECHIO!J40+PARAISO!J40+'ARROYO CANO'!J40+'POSTRER RIO'!J40+'EL YAQUE'!J40+ENRIQUILLO!J40+'HATO MAYOR'!J40+'LOTERIA NAC.'!J40+UASD!J40+HIGUEY!J40</f>
        <v>8200</v>
      </c>
      <c r="H40" s="270">
        <f>+'ADM 1'!R40+'ADM 2'!M40+'LOS MINA'!N40+'LA VILLA'!K40+'LOS ALCARRIZOS'!K40+'LAS CAOBAS'!K40+AZUA!K40+BARAHONA!K40+BAYAGUANA!K40+'BATEY 6'!K40+BOYA!K40+'BOCA CACHON'!K40+'CRISTO REY'!K40+CONSTANZA!K40+CRISTOBAL!K40+DAJABON!K40+'EL SEYBO'!K40+'ELIAS PIÑA'!K40+'LA VEGA'!K40+MAO!K40+'LA ROMANA'!K40+'MONTE PLATA'!K40+MANZANILLO!K40+MONTECRISTI!K40+NAGUA!K40+NAVARRETE!K40+OCOA!K40+NEYBA!K40+PEDERNALES!K40+PEKIN!K40+PLATANITOS!K40+QUISQUEYA!K40+'PUERTO PLATA'!K40+SAMANA!K40+'SAN CRISTOBAL'!K40+'SAN FCO'!K40+'SAN JUAN'!K40+'SAN PEDRO'!K40+'SANTIAGO RDGUEZ'!K40+'VILLA GONZALEZ'!K40+MOCA!K40+'VILLA LIBERACION'!K40+BONAO!K40+GALVAN!K40+BOHECHIO!K40+PARAISO!K40+'ARROYO CANO'!K40+'POSTRER RIO'!K40+'EL YAQUE'!K40+ENRIQUILLO!K40+'HATO MAYOR'!K40+'LOTERIA NAC.'!K40+UASD!K40+HIGUEY!K40</f>
        <v>434</v>
      </c>
      <c r="I40" s="270">
        <f>+'ADM 1'!S40+'ADM 2'!N40+'LOS MINA'!O40+'LA VILLA'!L40+'LOS ALCARRIZOS'!L40+'LAS CAOBAS'!L40+AZUA!L40+BARAHONA!L40+BAYAGUANA!L40+'BATEY 6'!L40+BOYA!L40+'BOCA CACHON'!L40+'CRISTO REY'!L40+CONSTANZA!L40+CRISTOBAL!L40+DAJABON!L40+'EL SEYBO'!L40+'ELIAS PIÑA'!L40+'LA VEGA'!L40+MAO!L40+'LA ROMANA'!L40+'MONTE PLATA'!L40+MANZANILLO!L40+MONTECRISTI!L40+NAGUA!L40+NAVARRETE!L40+OCOA!L40+NEYBA!L40+PEDERNALES!L40+PEKIN!L40+PLATANITOS!L40+QUISQUEYA!L40+'PUERTO PLATA'!L40+SAMANA!L40+'SAN CRISTOBAL'!L40+'SAN FCO'!L40+'SAN JUAN'!L40+'SAN PEDRO'!L40+'SANTIAGO RDGUEZ'!L40+'VILLA GONZALEZ'!L40+MOCA!L40+'VILLA LIBERACION'!L40+BONAO!L40+GALVAN!L40+BOHECHIO!L40+PARAISO!L40+'ARROYO CANO'!L40+'POSTRER RIO'!L40+'EL YAQUE'!L40+ENRIQUILLO!L40+'HATO MAYOR'!L40+'LOTERIA NAC.'!L40+UASD!L40+HIGUEY!L40</f>
        <v>15030</v>
      </c>
      <c r="J40" s="270">
        <f>+'ADM 1'!T40+'ADM 2'!O40+'LOS MINA'!P40+'LA VILLA'!M40+'LOS ALCARRIZOS'!M40+'LAS CAOBAS'!M40+AZUA!M40+BARAHONA!M40+BAYAGUANA!M40+'BATEY 6'!M40+BOYA!M40+'BOCA CACHON'!M40+'CRISTO REY'!M40+CONSTANZA!M40+CRISTOBAL!M40+DAJABON!M40+'EL SEYBO'!M40+'ELIAS PIÑA'!M40+'LA VEGA'!M40+MAO!M40+'LA ROMANA'!M40+'MONTE PLATA'!M40+MANZANILLO!M40+MONTECRISTI!M40+NAGUA!M40+NAVARRETE!M40+OCOA!M40+NEYBA!M40+PEDERNALES!M40+PEKIN!M40+PLATANITOS!M40+QUISQUEYA!M40+'PUERTO PLATA'!M40+SAMANA!M40+'SAN CRISTOBAL'!M40+'SAN FCO'!M40+'SAN JUAN'!M40+'SAN PEDRO'!M40+'SANTIAGO RDGUEZ'!M40+'VILLA GONZALEZ'!M40+MOCA!M40+'VILLA LIBERACION'!M40+BONAO!M40+GALVAN!M40+BOHECHIO!M40+PARAISO!M40+'ARROYO CANO'!M40+'POSTRER RIO'!M40+'EL YAQUE'!M40+ENRIQUILLO!M40+'HATO MAYOR'!M40+'LOTERIA NAC.'!M40+UASD!M40+HIGUEY!M40</f>
        <v>0</v>
      </c>
      <c r="K40" s="256">
        <f t="shared" si="1"/>
        <v>15464</v>
      </c>
      <c r="L40" s="269">
        <f>+'ADM 1'!V40+'ADM 2'!Q40+'LA VILLA'!O40+'LOS ALCARRIZOS'!O40+'LOS MINA'!R40+'LAS CAOBAS'!O40+AZUA!O40+BARAHONA!O40+BAYAGUANA!O40+'BATEY 6'!O40+BOYA!O40+'BOCA CACHON'!O40+'CRISTO REY'!O51+CONSTANZA!O40+CRISTOBAL!O40+DAJABON!O40+'EL SEYBO'!O40+'ELIAS PIÑA'!O40+'LA VEGA'!O40+MAO!O40+'LA ROMANA'!O40+'MONTE PLATA'!O40+MANZANILLO!O40+MONTECRISTI!O40+NAGUA!O40+NAVARRETE!O40+OCOA!O40+NEYBA!O40+PEDERNALES!O40+PEKIN!O40+PLATANITOS!O40+QUISQUEYA!O40+'PUERTO PLATA'!O40+SAMANA!O40+'SAN CRISTOBAL'!O40+'SAN FCO'!O40+'SAN JUAN'!O40+'SAN PEDRO'!O40+'SANTIAGO RDGUEZ'!O40+'VILLA GONZALEZ'!O40+MOCA!O40+'VILLA LIBERACION'!O40+BONAO!O40+GALVAN!O40+BOHECHIO!O41+PARAISO!O40+'ARROYO CANO'!O40+'POSTRER RIO'!O40+'EL YAQUE'!O40+ENRIQUILLO!O40+'HATO MAYOR'!O40+'LOTERIA NAC.'!O40+UASD!O40+HIGUEY!O40</f>
        <v>0</v>
      </c>
      <c r="M40" s="269">
        <f>+'ADM 1'!W40+'ADM 2'!R40+'LA VILLA'!P40+'LOS ALCARRIZOS'!P40+'LOS MINA'!S40+'LAS CAOBAS'!P40+AZUA!P40+BARAHONA!P40+BAYAGUANA!P40+'BATEY 6'!P40+BOYA!P40+'BOCA CACHON'!P40+'CRISTO REY'!P51+CONSTANZA!P40+CRISTOBAL!P40+DAJABON!P40+'EL SEYBO'!P40+'ELIAS PIÑA'!P40+'LA VEGA'!P40+MAO!P40+'LA ROMANA'!P40+'MONTE PLATA'!P40+MANZANILLO!P40+MONTECRISTI!P40+NAGUA!P40+NAVARRETE!P40+OCOA!P40+NEYBA!P40+PEDERNALES!P40+PEKIN!P40+PLATANITOS!P40+QUISQUEYA!P40+'PUERTO PLATA'!P40+SAMANA!P40+'SAN CRISTOBAL'!P40+'SAN FCO'!P40+'SAN JUAN'!P40+'SAN PEDRO'!P40+'SANTIAGO RDGUEZ'!P40+'VILLA GONZALEZ'!P40+MOCA!P40+'VILLA LIBERACION'!P40+BONAO!P40+GALVAN!P40+BOHECHIO!P41+PARAISO!P40+'ARROYO CANO'!P40+'POSTRER RIO'!P40+'EL YAQUE'!P40+ENRIQUILLO!P40+'HATO MAYOR'!P40+'LOTERIA NAC.'!P40+UASD!P40+HIGUEY!P40</f>
        <v>0</v>
      </c>
      <c r="N40" s="187">
        <f t="shared" si="2"/>
        <v>15464</v>
      </c>
      <c r="O40" s="183">
        <f t="shared" si="3"/>
        <v>23664</v>
      </c>
      <c r="S40" s="70"/>
      <c r="T40" s="3"/>
      <c r="U40" s="3"/>
      <c r="V40" s="70">
        <f t="shared" si="4"/>
        <v>0</v>
      </c>
    </row>
    <row r="41" spans="1:22" ht="15" customHeight="1" x14ac:dyDescent="0.3">
      <c r="C41" s="26">
        <v>26</v>
      </c>
      <c r="D41" s="264">
        <f>+'ADM 1'!D41+'ADM 2'!D41+'LA VILLA'!D41+'LOS ALCARRIZOS'!D41+'LOS MINA'!D41+'LAS CAOBAS'!D41+AZUA!D41+BARAHONA!D41+BAYAGUANA!D41+'BATEY 6'!D41+BOYA!D41+'BOCA CACHON'!D41+'CRISTO REY'!D52+CONSTANZA!D41+CRISTOBAL!D41+DAJABON!D41+'EL SEYBO'!D41+'ELIAS PIÑA'!D41+'LA VEGA'!D41+MAO!D41+'LA ROMANA'!D41+'MONTE PLATA'!D41+MANZANILLO!D41+MONTECRISTI!D41+NAGUA!D41+NAVARRETE!D41+OCOA!D41+NEYBA!D41+PEDERNALES!D41+PEKIN!D41+PLATANITOS!D41+QUISQUEYA!D41+'PUERTO PLATA'!D41+SAMANA!D41+'SAN CRISTOBAL'!D41+'SAN FCO'!D41+'SAN JUAN'!D41+'SAN PEDRO'!D41+'SANTIAGO RDGUEZ'!D41+'VILLA GONZALEZ'!D41+MOCA!D41+'VILLA LIBERACION'!D41+BONAO!D41+GALVAN!D41+BOHECHIO!D41+PARAISO!D41+'ARROYO CANO'!D41+'POSTRER RIO'!D41+'EL YAQUE'!D41+ENRIQUILLO!D41+'HATO MAYOR'!D41+'LOTERIA NAC.'!D41+UASD!D41+HIGUEY!D41</f>
        <v>37</v>
      </c>
      <c r="E41" s="264">
        <f>+'ADM 1'!E41+'ADM 2'!E41+'LA VILLA'!E41+'LOS ALCARRIZOS'!E41+'LOS MINA'!E41+'LAS CAOBAS'!E41+AZUA!E41+BARAHONA!E41+BAYAGUANA!E41+'BATEY 6'!E41+BOYA!E41+'BOCA CACHON'!E41+'CRISTO REY'!E52+CONSTANZA!E41+CRISTOBAL!E41+DAJABON!E41+'EL SEYBO'!E41+'ELIAS PIÑA'!E41+'LA VEGA'!E41+MAO!E41+'LA ROMANA'!E41+'MONTE PLATA'!E41+MANZANILLO!E41+MONTECRISTI!E41+NAGUA!E41+NAVARRETE!E41+OCOA!E41+NEYBA!E41+PEDERNALES!E41+PEKIN!E41+PLATANITOS!E41+QUISQUEYA!E41+'PUERTO PLATA'!E41+SAMANA!E41+'SAN CRISTOBAL'!E41+'SAN FCO'!E41+'SAN JUAN'!E41+'SAN PEDRO'!E41+'SANTIAGO RDGUEZ'!E41+'VILLA GONZALEZ'!E41+MOCA!E41+'VILLA LIBERACION'!E41+BONAO!E41+GALVAN!E41+BOHECHIO!E41+PARAISO!E41+'ARROYO CANO'!E41+'POSTRER RIO'!E41+'EL YAQUE'!E41+ENRIQUILLO!E41+'HATO MAYOR'!E41+'LOTERIA NAC.'!E41+UASD!E41+HIGUEY!E41</f>
        <v>0</v>
      </c>
      <c r="F41" s="318">
        <f t="shared" si="0"/>
        <v>37</v>
      </c>
      <c r="G41" s="266">
        <f>+'ADM 1'!Q41+'ADM 2'!L41+'LOS MINA'!M41+'LA VILLA'!J41+'LOS ALCARRIZOS'!J41+'LAS CAOBAS'!J41+AZUA!J41+BARAHONA!J41+BAYAGUANA!J41+'BATEY 6'!J41+BOYA!J41+'BOCA CACHON'!J41+'CRISTO REY'!J41+CONSTANZA!J41+CRISTOBAL!J41+DAJABON!J41+'EL SEYBO'!J41+'ELIAS PIÑA'!J41+'LA VEGA'!J41+MAO!J41+'LA ROMANA'!J41+'MONTE PLATA'!J41+MANZANILLO!J41+MONTECRISTI!J41+NAGUA!J41+NAVARRETE!J41+OCOA!J41+NEYBA!J41+PEDERNALES!J41+PEKIN!J41+PLATANITOS!J41+QUISQUEYA!J41+'PUERTO PLATA'!J41+SAMANA!J41+'SAN CRISTOBAL'!J41+'SAN FCO'!J41+'SAN JUAN'!J41+'SAN PEDRO'!J41+'SANTIAGO RDGUEZ'!J41+'VILLA GONZALEZ'!J41+MOCA!J41+'VILLA LIBERACION'!J41+BONAO!J41+GALVAN!J41+BOHECHIO!J41+PARAISO!J41+'ARROYO CANO'!J41+'POSTRER RIO'!J41+'EL YAQUE'!J41+ENRIQUILLO!J41+'HATO MAYOR'!J41+'LOTERIA NAC.'!J41+UASD!J41+HIGUEY!J41</f>
        <v>10153</v>
      </c>
      <c r="H41" s="270">
        <f>+'ADM 1'!R41+'ADM 2'!M41+'LOS MINA'!N41+'LA VILLA'!K41+'LOS ALCARRIZOS'!K41+'LAS CAOBAS'!K41+AZUA!K41+BARAHONA!K41+BAYAGUANA!K41+'BATEY 6'!K41+BOYA!K41+'BOCA CACHON'!K41+'CRISTO REY'!K41+CONSTANZA!K41+CRISTOBAL!K41+DAJABON!K41+'EL SEYBO'!K41+'ELIAS PIÑA'!K41+'LA VEGA'!K41+MAO!K41+'LA ROMANA'!K41+'MONTE PLATA'!K41+MANZANILLO!K41+MONTECRISTI!K41+NAGUA!K41+NAVARRETE!K41+OCOA!K41+NEYBA!K41+PEDERNALES!K41+PEKIN!K41+PLATANITOS!K41+QUISQUEYA!K41+'PUERTO PLATA'!K41+SAMANA!K41+'SAN CRISTOBAL'!K41+'SAN FCO'!K41+'SAN JUAN'!K41+'SAN PEDRO'!K41+'SANTIAGO RDGUEZ'!K41+'VILLA GONZALEZ'!K41+MOCA!K41+'VILLA LIBERACION'!K41+BONAO!K41+GALVAN!K41+BOHECHIO!K41+PARAISO!K41+'ARROYO CANO'!K41+'POSTRER RIO'!K41+'EL YAQUE'!K41+ENRIQUILLO!K41+'HATO MAYOR'!K41+'LOTERIA NAC.'!K41+UASD!K41+HIGUEY!K41</f>
        <v>2418</v>
      </c>
      <c r="I41" s="270">
        <f>+'ADM 1'!S41+'ADM 2'!N41+'LOS MINA'!O41+'LA VILLA'!L41+'LOS ALCARRIZOS'!L41+'LAS CAOBAS'!L41+AZUA!L41+BARAHONA!L41+BAYAGUANA!L41+'BATEY 6'!L41+BOYA!L41+'BOCA CACHON'!L41+'CRISTO REY'!L41+CONSTANZA!L41+CRISTOBAL!L41+DAJABON!L41+'EL SEYBO'!L41+'ELIAS PIÑA'!L41+'LA VEGA'!L41+MAO!L41+'LA ROMANA'!L41+'MONTE PLATA'!L41+MANZANILLO!L41+MONTECRISTI!L41+NAGUA!L41+NAVARRETE!L41+OCOA!L41+NEYBA!L41+PEDERNALES!L41+PEKIN!L41+PLATANITOS!L41+QUISQUEYA!L41+'PUERTO PLATA'!L41+SAMANA!L41+'SAN CRISTOBAL'!L41+'SAN FCO'!L41+'SAN JUAN'!L41+'SAN PEDRO'!L41+'SANTIAGO RDGUEZ'!L41+'VILLA GONZALEZ'!L41+MOCA!L41+'VILLA LIBERACION'!L41+BONAO!L41+GALVAN!L41+BOHECHIO!L41+PARAISO!L41+'ARROYO CANO'!L41+'POSTRER RIO'!L41+'EL YAQUE'!L41+ENRIQUILLO!L41+'HATO MAYOR'!L41+'LOTERIA NAC.'!L41+UASD!L41+HIGUEY!L41</f>
        <v>81336</v>
      </c>
      <c r="J41" s="270">
        <f>+'ADM 1'!T41+'ADM 2'!O41+'LOS MINA'!P41+'LA VILLA'!M41+'LOS ALCARRIZOS'!M41+'LAS CAOBAS'!M41+AZUA!M41+BARAHONA!M41+BAYAGUANA!M41+'BATEY 6'!M41+BOYA!M41+'BOCA CACHON'!M41+'CRISTO REY'!M41+CONSTANZA!M41+CRISTOBAL!M41+DAJABON!M41+'EL SEYBO'!M41+'ELIAS PIÑA'!M41+'LA VEGA'!M41+MAO!M41+'LA ROMANA'!M41+'MONTE PLATA'!M41+MANZANILLO!M41+MONTECRISTI!M41+NAGUA!M41+NAVARRETE!M41+OCOA!M41+NEYBA!M41+PEDERNALES!M41+PEKIN!M41+PLATANITOS!M41+QUISQUEYA!M41+'PUERTO PLATA'!M41+SAMANA!M41+'SAN CRISTOBAL'!M41+'SAN FCO'!M41+'SAN JUAN'!M41+'SAN PEDRO'!M41+'SANTIAGO RDGUEZ'!M41+'VILLA GONZALEZ'!M41+MOCA!M41+'VILLA LIBERACION'!M41+BONAO!M41+GALVAN!M41+BOHECHIO!M41+PARAISO!M41+'ARROYO CANO'!M41+'POSTRER RIO'!M41+'EL YAQUE'!M41+ENRIQUILLO!M41+'HATO MAYOR'!M41+'LOTERIA NAC.'!M41+UASD!M41+HIGUEY!M41</f>
        <v>3784</v>
      </c>
      <c r="K41" s="256">
        <f t="shared" si="1"/>
        <v>87538</v>
      </c>
      <c r="L41" s="269">
        <f>+'ADM 1'!V41+'ADM 2'!Q41+'LA VILLA'!O41+'LOS ALCARRIZOS'!O41+'LOS MINA'!R41+'LAS CAOBAS'!O41+AZUA!O41+BARAHONA!O41+BAYAGUANA!O41+'BATEY 6'!O41+BOYA!O41+'BOCA CACHON'!O41+'CRISTO REY'!O52+CONSTANZA!O41+CRISTOBAL!O41+DAJABON!O41+'EL SEYBO'!O41+'ELIAS PIÑA'!O41+'LA VEGA'!O41+MAO!O41+'LA ROMANA'!O41+'MONTE PLATA'!O41+MANZANILLO!O41+MONTECRISTI!O41+NAGUA!O41+NAVARRETE!O41+OCOA!O41+NEYBA!O41+PEDERNALES!O41+PEKIN!O41+PLATANITOS!O41+QUISQUEYA!O41+'PUERTO PLATA'!O41+SAMANA!O41+'SAN CRISTOBAL'!O41+'SAN FCO'!O41+'SAN JUAN'!O41+'SAN PEDRO'!O41+'SANTIAGO RDGUEZ'!O41+'VILLA GONZALEZ'!O41+MOCA!O41+'VILLA LIBERACION'!O41+BONAO!O41+GALVAN!O41+BOHECHIO!O42+PARAISO!O41+'ARROYO CANO'!O41+'POSTRER RIO'!O41+'EL YAQUE'!O41+ENRIQUILLO!O41+'HATO MAYOR'!O41+'LOTERIA NAC.'!O41+UASD!O41+HIGUEY!O41</f>
        <v>0</v>
      </c>
      <c r="M41" s="269">
        <f>+'ADM 1'!W41+'ADM 2'!R41+'LA VILLA'!P41+'LOS ALCARRIZOS'!P41+'LOS MINA'!S41+'LAS CAOBAS'!P41+AZUA!P41+BARAHONA!P41+BAYAGUANA!P41+'BATEY 6'!P41+BOYA!P41+'BOCA CACHON'!P41+'CRISTO REY'!P52+CONSTANZA!P41+CRISTOBAL!P41+DAJABON!P41+'EL SEYBO'!P41+'ELIAS PIÑA'!P41+'LA VEGA'!P41+MAO!P41+'LA ROMANA'!P41+'MONTE PLATA'!P41+MANZANILLO!P41+MONTECRISTI!P41+NAGUA!P41+NAVARRETE!P41+OCOA!P41+NEYBA!P41+PEDERNALES!P41+PEKIN!P41+PLATANITOS!P41+QUISQUEYA!P41+'PUERTO PLATA'!P41+SAMANA!P41+'SAN CRISTOBAL'!P41+'SAN FCO'!P41+'SAN JUAN'!P41+'SAN PEDRO'!P41+'SANTIAGO RDGUEZ'!P41+'VILLA GONZALEZ'!P41+MOCA!P41+'VILLA LIBERACION'!P41+BONAO!P41+GALVAN!P41+BOHECHIO!P42+PARAISO!P41+'ARROYO CANO'!P41+'POSTRER RIO'!P41+'EL YAQUE'!P41+ENRIQUILLO!P41+'HATO MAYOR'!P41+'LOTERIA NAC.'!P41+UASD!P41+HIGUEY!P41</f>
        <v>0</v>
      </c>
      <c r="N41" s="187">
        <f t="shared" si="2"/>
        <v>87538</v>
      </c>
      <c r="O41" s="183">
        <f t="shared" si="3"/>
        <v>97728</v>
      </c>
      <c r="S41" s="70"/>
      <c r="T41" s="3"/>
      <c r="U41" s="3"/>
      <c r="V41" s="70">
        <f t="shared" si="4"/>
        <v>0</v>
      </c>
    </row>
    <row r="42" spans="1:22" ht="15" customHeight="1" x14ac:dyDescent="0.3">
      <c r="C42" s="26">
        <v>27</v>
      </c>
      <c r="D42" s="264">
        <f>+'ADM 1'!D42+'ADM 2'!D42+'LA VILLA'!D42+'LOS ALCARRIZOS'!D42+'LOS MINA'!D42+'LAS CAOBAS'!D42+AZUA!D42+BARAHONA!D42+BAYAGUANA!D42+'BATEY 6'!D42+BOYA!D42+'BOCA CACHON'!D42+'CRISTO REY'!D53+CONSTANZA!D42+CRISTOBAL!D42+DAJABON!D42+'EL SEYBO'!D42+'ELIAS PIÑA'!D42+'LA VEGA'!D42+MAO!D42+'LA ROMANA'!D42+'MONTE PLATA'!D42+MANZANILLO!D42+MONTECRISTI!D42+NAGUA!D42+NAVARRETE!D42+OCOA!D42+NEYBA!D42+PEDERNALES!D42+PEKIN!D42+PLATANITOS!D42+QUISQUEYA!D42+'PUERTO PLATA'!D42+SAMANA!D42+'SAN CRISTOBAL'!D42+'SAN FCO'!D42+'SAN JUAN'!D42+'SAN PEDRO'!D42+'SANTIAGO RDGUEZ'!D42+'VILLA GONZALEZ'!D42+MOCA!D42+'VILLA LIBERACION'!D42+BONAO!D42+GALVAN!D42+BOHECHIO!D42+PARAISO!D42+'ARROYO CANO'!D42+'POSTRER RIO'!D42+'EL YAQUE'!D42+ENRIQUILLO!D42+'HATO MAYOR'!D42+'LOTERIA NAC.'!D42+UASD!D42+HIGUEY!D42</f>
        <v>29</v>
      </c>
      <c r="E42" s="264">
        <f>+'ADM 1'!E42+'ADM 2'!E42+'LA VILLA'!E42+'LOS ALCARRIZOS'!E42+'LOS MINA'!E42+'LAS CAOBAS'!E42+AZUA!E42+BARAHONA!E42+BAYAGUANA!E42+'BATEY 6'!E42+BOYA!E42+'BOCA CACHON'!E42+'CRISTO REY'!E53+CONSTANZA!E42+CRISTOBAL!E42+DAJABON!E42+'EL SEYBO'!E42+'ELIAS PIÑA'!E42+'LA VEGA'!E42+MAO!E42+'LA ROMANA'!E42+'MONTE PLATA'!E42+MANZANILLO!E42+MONTECRISTI!E42+NAGUA!E42+NAVARRETE!E42+OCOA!E42+NEYBA!E42+PEDERNALES!E42+PEKIN!E42+PLATANITOS!E42+QUISQUEYA!E42+'PUERTO PLATA'!E42+SAMANA!E42+'SAN CRISTOBAL'!E42+'SAN FCO'!E42+'SAN JUAN'!E42+'SAN PEDRO'!E42+'SANTIAGO RDGUEZ'!E42+'VILLA GONZALEZ'!E42+MOCA!E42+'VILLA LIBERACION'!E42+BONAO!E42+GALVAN!E42+BOHECHIO!E42+PARAISO!E42+'ARROYO CANO'!E42+'POSTRER RIO'!E42+'EL YAQUE'!E42+ENRIQUILLO!E42+'HATO MAYOR'!E42+'LOTERIA NAC.'!E42+UASD!E42+HIGUEY!E42</f>
        <v>0</v>
      </c>
      <c r="F42" s="318">
        <f t="shared" si="0"/>
        <v>29</v>
      </c>
      <c r="G42" s="266">
        <f>+'ADM 1'!Q42+'ADM 2'!L42+'LOS MINA'!M42+'LA VILLA'!J42+'LOS ALCARRIZOS'!J42+'LAS CAOBAS'!J42+AZUA!J42+BARAHONA!J42+BAYAGUANA!J42+'BATEY 6'!J42+BOYA!J42+'BOCA CACHON'!J42+'CRISTO REY'!J42+CONSTANZA!J42+CRISTOBAL!J42+DAJABON!J42+'EL SEYBO'!J42+'ELIAS PIÑA'!J42+'LA VEGA'!J42+MAO!J42+'LA ROMANA'!J42+'MONTE PLATA'!J42+MANZANILLO!J42+MONTECRISTI!J42+NAGUA!J42+NAVARRETE!J42+OCOA!J42+NEYBA!J42+PEDERNALES!J42+PEKIN!J42+PLATANITOS!J42+QUISQUEYA!J42+'PUERTO PLATA'!J42+SAMANA!J42+'SAN CRISTOBAL'!J42+'SAN FCO'!J42+'SAN JUAN'!J42+'SAN PEDRO'!J42+'SANTIAGO RDGUEZ'!J42+'VILLA GONZALEZ'!J42+MOCA!J42+'VILLA LIBERACION'!J42+BONAO!J42+GALVAN!J42+BOHECHIO!J42+PARAISO!J42+'ARROYO CANO'!J42+'POSTRER RIO'!J42+'EL YAQUE'!J42+ENRIQUILLO!J42+'HATO MAYOR'!J42+'LOTERIA NAC.'!J42+UASD!J42+HIGUEY!J42</f>
        <v>10121</v>
      </c>
      <c r="H42" s="270">
        <f>+'ADM 1'!R42+'ADM 2'!M42+'LOS MINA'!N42+'LA VILLA'!K42+'LOS ALCARRIZOS'!K42+'LAS CAOBAS'!K42+AZUA!K42+BARAHONA!K42+BAYAGUANA!K42+'BATEY 6'!K42+BOYA!K42+'BOCA CACHON'!K42+'CRISTO REY'!K42+CONSTANZA!K42+CRISTOBAL!K42+DAJABON!K42+'EL SEYBO'!K42+'ELIAS PIÑA'!K42+'LA VEGA'!K42+MAO!K42+'LA ROMANA'!K42+'MONTE PLATA'!K42+MANZANILLO!K42+MONTECRISTI!K42+NAGUA!K42+NAVARRETE!K42+OCOA!K42+NEYBA!K42+PEDERNALES!K42+PEKIN!K42+PLATANITOS!K42+QUISQUEYA!K42+'PUERTO PLATA'!K42+SAMANA!K42+'SAN CRISTOBAL'!K42+'SAN FCO'!K42+'SAN JUAN'!K42+'SAN PEDRO'!K42+'SANTIAGO RDGUEZ'!K42+'VILLA GONZALEZ'!K42+MOCA!K42+'VILLA LIBERACION'!K42+BONAO!K42+GALVAN!K42+BOHECHIO!K42+PARAISO!K42+'ARROYO CANO'!K42+'POSTRER RIO'!K42+'EL YAQUE'!K42+ENRIQUILLO!K42+'HATO MAYOR'!K42+'LOTERIA NAC.'!K42+UASD!K42+HIGUEY!K42</f>
        <v>2502</v>
      </c>
      <c r="I42" s="270">
        <f>+'ADM 1'!S42+'ADM 2'!N42+'LOS MINA'!O42+'LA VILLA'!L42+'LOS ALCARRIZOS'!L42+'LAS CAOBAS'!L42+AZUA!L42+BARAHONA!L42+BAYAGUANA!L42+'BATEY 6'!L42+BOYA!L42+'BOCA CACHON'!L42+'CRISTO REY'!L42+CONSTANZA!L42+CRISTOBAL!L42+DAJABON!L42+'EL SEYBO'!L42+'ELIAS PIÑA'!L42+'LA VEGA'!L42+MAO!L42+'LA ROMANA'!L42+'MONTE PLATA'!L42+MANZANILLO!L42+MONTECRISTI!L42+NAGUA!L42+NAVARRETE!L42+OCOA!L42+NEYBA!L42+PEDERNALES!L42+PEKIN!L42+PLATANITOS!L42+QUISQUEYA!L42+'PUERTO PLATA'!L42+SAMANA!L42+'SAN CRISTOBAL'!L42+'SAN FCO'!L42+'SAN JUAN'!L42+'SAN PEDRO'!L42+'SANTIAGO RDGUEZ'!L42+'VILLA GONZALEZ'!L42+MOCA!L42+'VILLA LIBERACION'!L42+BONAO!L42+GALVAN!L42+BOHECHIO!L42+PARAISO!L42+'ARROYO CANO'!L42+'POSTRER RIO'!L42+'EL YAQUE'!L42+ENRIQUILLO!L42+'HATO MAYOR'!L42+'LOTERIA NAC.'!L42+UASD!L42+HIGUEY!L42</f>
        <v>83835</v>
      </c>
      <c r="J42" s="270">
        <f>+'ADM 1'!T42+'ADM 2'!O42+'LOS MINA'!P42+'LA VILLA'!M42+'LOS ALCARRIZOS'!M42+'LAS CAOBAS'!M42+AZUA!M42+BARAHONA!M42+BAYAGUANA!M42+'BATEY 6'!M42+BOYA!M42+'BOCA CACHON'!M42+'CRISTO REY'!M42+CONSTANZA!M42+CRISTOBAL!M42+DAJABON!M42+'EL SEYBO'!M42+'ELIAS PIÑA'!M42+'LA VEGA'!M42+MAO!M42+'LA ROMANA'!M42+'MONTE PLATA'!M42+MANZANILLO!M42+MONTECRISTI!M42+NAGUA!M42+NAVARRETE!M42+OCOA!M42+NEYBA!M42+PEDERNALES!M42+PEKIN!M42+PLATANITOS!M42+QUISQUEYA!M42+'PUERTO PLATA'!M42+SAMANA!M42+'SAN CRISTOBAL'!M42+'SAN FCO'!M42+'SAN JUAN'!M42+'SAN PEDRO'!M42+'SANTIAGO RDGUEZ'!M42+'VILLA GONZALEZ'!M42+MOCA!M42+'VILLA LIBERACION'!M42+BONAO!M42+GALVAN!M42+BOHECHIO!M42+PARAISO!M42+'ARROYO CANO'!M42+'POSTRER RIO'!M42+'EL YAQUE'!M42+ENRIQUILLO!M42+'HATO MAYOR'!M42+'LOTERIA NAC.'!M42+UASD!M42+HIGUEY!M42</f>
        <v>4127</v>
      </c>
      <c r="K42" s="256">
        <f t="shared" si="1"/>
        <v>90464</v>
      </c>
      <c r="L42" s="269">
        <f>+'ADM 1'!V42+'ADM 2'!Q42+'LA VILLA'!O42+'LOS ALCARRIZOS'!O42+'LOS MINA'!R42+'LAS CAOBAS'!O42+AZUA!O42+BARAHONA!O42+BAYAGUANA!O42+'BATEY 6'!O42+BOYA!O42+'BOCA CACHON'!O42+'CRISTO REY'!O53+CONSTANZA!O42+CRISTOBAL!O42+DAJABON!O42+'EL SEYBO'!O42+'ELIAS PIÑA'!O42+'LA VEGA'!O42+MAO!O42+'LA ROMANA'!O42+'MONTE PLATA'!O42+MANZANILLO!O42+MONTECRISTI!O42+NAGUA!O42+NAVARRETE!O42+OCOA!O42+NEYBA!O42+PEDERNALES!O42+PEKIN!O42+PLATANITOS!O42+QUISQUEYA!O42+'PUERTO PLATA'!O42+SAMANA!O42+'SAN CRISTOBAL'!O42+'SAN FCO'!O42+'SAN JUAN'!O42+'SAN PEDRO'!O42+'SANTIAGO RDGUEZ'!O42+'VILLA GONZALEZ'!O42+MOCA!O42+'VILLA LIBERACION'!O42+BONAO!O42+GALVAN!O42+BOHECHIO!O43+PARAISO!O42+'ARROYO CANO'!O42+'POSTRER RIO'!O42+'EL YAQUE'!O42+ENRIQUILLO!O42+'HATO MAYOR'!O42+'LOTERIA NAC.'!O42+UASD!O42+HIGUEY!O42</f>
        <v>0</v>
      </c>
      <c r="M42" s="269">
        <f>+'ADM 1'!W42+'ADM 2'!R42+'LA VILLA'!P42+'LOS ALCARRIZOS'!P42+'LOS MINA'!S42+'LAS CAOBAS'!P42+AZUA!P42+BARAHONA!P42+BAYAGUANA!P42+'BATEY 6'!P42+BOYA!P42+'BOCA CACHON'!P42+'CRISTO REY'!P53+CONSTANZA!P42+CRISTOBAL!P42+DAJABON!P42+'EL SEYBO'!P42+'ELIAS PIÑA'!P42+'LA VEGA'!P42+MAO!P42+'LA ROMANA'!P42+'MONTE PLATA'!P42+MANZANILLO!P42+MONTECRISTI!P42+NAGUA!P42+NAVARRETE!P42+OCOA!P42+NEYBA!P42+PEDERNALES!P42+PEKIN!P42+PLATANITOS!P42+QUISQUEYA!P42+'PUERTO PLATA'!P42+SAMANA!P42+'SAN CRISTOBAL'!P42+'SAN FCO'!P42+'SAN JUAN'!P42+'SAN PEDRO'!P42+'SANTIAGO RDGUEZ'!P42+'VILLA GONZALEZ'!P42+MOCA!P42+'VILLA LIBERACION'!P42+BONAO!P42+GALVAN!P42+BOHECHIO!P43+PARAISO!P42+'ARROYO CANO'!P42+'POSTRER RIO'!P42+'EL YAQUE'!P42+ENRIQUILLO!P42+'HATO MAYOR'!P42+'LOTERIA NAC.'!P42+UASD!P42+HIGUEY!P42</f>
        <v>0</v>
      </c>
      <c r="N42" s="187">
        <f t="shared" si="2"/>
        <v>90464</v>
      </c>
      <c r="O42" s="183">
        <f t="shared" si="3"/>
        <v>100614</v>
      </c>
      <c r="S42" s="70"/>
      <c r="T42" s="3"/>
      <c r="U42" s="3"/>
      <c r="V42" s="70">
        <f t="shared" si="4"/>
        <v>0</v>
      </c>
    </row>
    <row r="43" spans="1:22" ht="15" customHeight="1" x14ac:dyDescent="0.3">
      <c r="C43" s="26">
        <v>28</v>
      </c>
      <c r="D43" s="264">
        <f>+'ADM 1'!D43+'ADM 2'!D43+'LA VILLA'!D43+'LOS ALCARRIZOS'!D43+'LOS MINA'!D43+'LAS CAOBAS'!D43+AZUA!D43+BARAHONA!D43+BAYAGUANA!D43+'BATEY 6'!D43+BOYA!D43+'BOCA CACHON'!D43+'CRISTO REY'!D54+CONSTANZA!D43+CRISTOBAL!D43+DAJABON!D43+'EL SEYBO'!D43+'ELIAS PIÑA'!D43+'LA VEGA'!D43+MAO!D43+'LA ROMANA'!D43+'MONTE PLATA'!D43+MANZANILLO!D43+MONTECRISTI!D43+NAGUA!D43+NAVARRETE!D43+OCOA!D43+NEYBA!D43+PEDERNALES!D43+PEKIN!D43+PLATANITOS!D43+QUISQUEYA!D43+'PUERTO PLATA'!D43+SAMANA!D43+'SAN CRISTOBAL'!D43+'SAN FCO'!D43+'SAN JUAN'!D43+'SAN PEDRO'!D43+'SANTIAGO RDGUEZ'!D43+'VILLA GONZALEZ'!D43+MOCA!D43+'VILLA LIBERACION'!D43+BONAO!D43+GALVAN!D43+BOHECHIO!D43+PARAISO!D43+'ARROYO CANO'!D43+'POSTRER RIO'!D43+'EL YAQUE'!D43+ENRIQUILLO!D43+'HATO MAYOR'!D43+'LOTERIA NAC.'!D43+UASD!D43+HIGUEY!D43</f>
        <v>25</v>
      </c>
      <c r="E43" s="264">
        <f>+'ADM 1'!E43+'ADM 2'!E43+'LA VILLA'!E43+'LOS ALCARRIZOS'!E43+'LOS MINA'!E43+'LAS CAOBAS'!E43+AZUA!E43+BARAHONA!E43+BAYAGUANA!E43+'BATEY 6'!E43+BOYA!E43+'BOCA CACHON'!E43+'CRISTO REY'!E54+CONSTANZA!E43+CRISTOBAL!E43+DAJABON!E43+'EL SEYBO'!E43+'ELIAS PIÑA'!E43+'LA VEGA'!E43+MAO!E43+'LA ROMANA'!E43+'MONTE PLATA'!E43+MANZANILLO!E43+MONTECRISTI!E43+NAGUA!E43+NAVARRETE!E43+OCOA!E43+NEYBA!E43+PEDERNALES!E43+PEKIN!E43+PLATANITOS!E43+QUISQUEYA!E43+'PUERTO PLATA'!E43+SAMANA!E43+'SAN CRISTOBAL'!E43+'SAN FCO'!E43+'SAN JUAN'!E43+'SAN PEDRO'!E43+'SANTIAGO RDGUEZ'!E43+'VILLA GONZALEZ'!E43+MOCA!E43+'VILLA LIBERACION'!E43+BONAO!E43+GALVAN!E43+BOHECHIO!E43+PARAISO!E43+'ARROYO CANO'!E43+'POSTRER RIO'!E43+'EL YAQUE'!E43+ENRIQUILLO!E43+'HATO MAYOR'!E43+'LOTERIA NAC.'!E43+UASD!E43+HIGUEY!E43</f>
        <v>0</v>
      </c>
      <c r="F43" s="318">
        <f t="shared" si="0"/>
        <v>25</v>
      </c>
      <c r="G43" s="266">
        <f>+'ADM 1'!Q43+'ADM 2'!L43+'LOS MINA'!M43+'LA VILLA'!J43+'LOS ALCARRIZOS'!J43+'LAS CAOBAS'!J43+AZUA!J43+BARAHONA!J43+BAYAGUANA!J43+'BATEY 6'!J43+BOYA!J43+'BOCA CACHON'!J43+'CRISTO REY'!J43+CONSTANZA!J43+CRISTOBAL!J43+DAJABON!J43+'EL SEYBO'!J43+'ELIAS PIÑA'!J43+'LA VEGA'!J43+MAO!J43+'LA ROMANA'!J43+'MONTE PLATA'!J43+MANZANILLO!J43+MONTECRISTI!J43+NAGUA!J43+NAVARRETE!J43+OCOA!J43+NEYBA!J43+PEDERNALES!J43+PEKIN!J43+PLATANITOS!J43+QUISQUEYA!J43+'PUERTO PLATA'!J43+SAMANA!J43+'SAN CRISTOBAL'!J43+'SAN FCO'!J43+'SAN JUAN'!J43+'SAN PEDRO'!J43+'SANTIAGO RDGUEZ'!J43+'VILLA GONZALEZ'!J43+MOCA!J43+'VILLA LIBERACION'!J43+BONAO!J43+GALVAN!J43+BOHECHIO!J43+PARAISO!J43+'ARROYO CANO'!J43+'POSTRER RIO'!J43+'EL YAQUE'!J43+ENRIQUILLO!J43+'HATO MAYOR'!J43+'LOTERIA NAC.'!J43+UASD!J43+HIGUEY!J43</f>
        <v>10145</v>
      </c>
      <c r="H43" s="270">
        <f>+'ADM 1'!R43+'ADM 2'!M43+'LOS MINA'!N43+'LA VILLA'!K43+'LOS ALCARRIZOS'!K43+'LAS CAOBAS'!K43+AZUA!K43+BARAHONA!K43+BAYAGUANA!K43+'BATEY 6'!K43+BOYA!K43+'BOCA CACHON'!K43+'CRISTO REY'!K43+CONSTANZA!K43+CRISTOBAL!K43+DAJABON!K43+'EL SEYBO'!K43+'ELIAS PIÑA'!K43+'LA VEGA'!K43+MAO!K43+'LA ROMANA'!K43+'MONTE PLATA'!K43+MANZANILLO!K43+MONTECRISTI!K43+NAGUA!K43+NAVARRETE!K43+OCOA!K43+NEYBA!K43+PEDERNALES!K43+PEKIN!K43+PLATANITOS!K43+QUISQUEYA!K43+'PUERTO PLATA'!K43+SAMANA!K43+'SAN CRISTOBAL'!K43+'SAN FCO'!K43+'SAN JUAN'!K43+'SAN PEDRO'!K43+'SANTIAGO RDGUEZ'!K43+'VILLA GONZALEZ'!K43+MOCA!K43+'VILLA LIBERACION'!K43+BONAO!K43+GALVAN!K43+BOHECHIO!K43+PARAISO!K43+'ARROYO CANO'!K43+'POSTRER RIO'!K43+'EL YAQUE'!K43+ENRIQUILLO!K43+'HATO MAYOR'!K43+'LOTERIA NAC.'!K43+UASD!K43+HIGUEY!K43</f>
        <v>2439</v>
      </c>
      <c r="I43" s="270">
        <f>+'ADM 1'!S43+'ADM 2'!N43+'LOS MINA'!O43+'LA VILLA'!L43+'LOS ALCARRIZOS'!L43+'LAS CAOBAS'!L43+AZUA!L43+BARAHONA!L43+BAYAGUANA!L43+'BATEY 6'!L43+BOYA!L43+'BOCA CACHON'!L43+'CRISTO REY'!L43+CONSTANZA!L43+CRISTOBAL!L43+DAJABON!L43+'EL SEYBO'!L43+'ELIAS PIÑA'!L43+'LA VEGA'!L43+MAO!L43+'LA ROMANA'!L43+'MONTE PLATA'!L43+MANZANILLO!L43+MONTECRISTI!L43+NAGUA!L43+NAVARRETE!L43+OCOA!L43+NEYBA!L43+PEDERNALES!L43+PEKIN!L43+PLATANITOS!L43+QUISQUEYA!L43+'PUERTO PLATA'!L43+SAMANA!L43+'SAN CRISTOBAL'!L43+'SAN FCO'!L43+'SAN JUAN'!L43+'SAN PEDRO'!L43+'SANTIAGO RDGUEZ'!L43+'VILLA GONZALEZ'!L43+MOCA!L43+'VILLA LIBERACION'!L43+BONAO!L43+GALVAN!L43+BOHECHIO!L43+PARAISO!L43+'ARROYO CANO'!L43+'POSTRER RIO'!L43+'EL YAQUE'!L43+ENRIQUILLO!L43+'HATO MAYOR'!L43+'LOTERIA NAC.'!L43+UASD!L43+HIGUEY!L43</f>
        <v>83414</v>
      </c>
      <c r="J43" s="270">
        <f>+'ADM 1'!T43+'ADM 2'!O43+'LOS MINA'!P43+'LA VILLA'!M43+'LOS ALCARRIZOS'!M43+'LAS CAOBAS'!M43+AZUA!M43+BARAHONA!M43+BAYAGUANA!M43+'BATEY 6'!M43+BOYA!M43+'BOCA CACHON'!M43+'CRISTO REY'!M43+CONSTANZA!M43+CRISTOBAL!M43+DAJABON!M43+'EL SEYBO'!M43+'ELIAS PIÑA'!M43+'LA VEGA'!M43+MAO!M43+'LA ROMANA'!M43+'MONTE PLATA'!M43+MANZANILLO!M43+MONTECRISTI!M43+NAGUA!M43+NAVARRETE!M43+OCOA!M43+NEYBA!M43+PEDERNALES!M43+PEKIN!M43+PLATANITOS!M43+QUISQUEYA!M43+'PUERTO PLATA'!M43+SAMANA!M43+'SAN CRISTOBAL'!M43+'SAN FCO'!M43+'SAN JUAN'!M43+'SAN PEDRO'!M43+'SANTIAGO RDGUEZ'!M43+'VILLA GONZALEZ'!M43+MOCA!M43+'VILLA LIBERACION'!M43+BONAO!M43+GALVAN!M43+BOHECHIO!M43+PARAISO!M43+'ARROYO CANO'!M43+'POSTRER RIO'!M43+'EL YAQUE'!M43+ENRIQUILLO!M43+'HATO MAYOR'!M43+'LOTERIA NAC.'!M43+UASD!M43+HIGUEY!M43</f>
        <v>3322</v>
      </c>
      <c r="K43" s="256">
        <f t="shared" si="1"/>
        <v>89175</v>
      </c>
      <c r="L43" s="269">
        <f>+'ADM 1'!V43+'ADM 2'!Q43+'LA VILLA'!O43+'LOS ALCARRIZOS'!O43+'LOS MINA'!R43+'LAS CAOBAS'!O43+AZUA!O43+BARAHONA!O43+BAYAGUANA!O43+'BATEY 6'!O43+BOYA!O43+'BOCA CACHON'!O43+'CRISTO REY'!O54+CONSTANZA!O43+CRISTOBAL!O43+DAJABON!O43+'EL SEYBO'!O43+'ELIAS PIÑA'!O43+'LA VEGA'!O43+MAO!O43+'LA ROMANA'!O43+'MONTE PLATA'!O43+MANZANILLO!O43+MONTECRISTI!O43+NAGUA!O43+NAVARRETE!O43+OCOA!O43+NEYBA!O43+PEDERNALES!O43+PEKIN!O43+PLATANITOS!O43+QUISQUEYA!O43+'PUERTO PLATA'!O43+SAMANA!O43+'SAN CRISTOBAL'!O43+'SAN FCO'!O43+'SAN JUAN'!O43+'SAN PEDRO'!O43+'SANTIAGO RDGUEZ'!O43+'VILLA GONZALEZ'!O43+MOCA!O43+'VILLA LIBERACION'!O43+BONAO!O43+GALVAN!O43+BOHECHIO!O44+PARAISO!O43+'ARROYO CANO'!O43+'POSTRER RIO'!O43+'EL YAQUE'!O43+ENRIQUILLO!O43+'HATO MAYOR'!O43+'LOTERIA NAC.'!O43+UASD!O43+HIGUEY!O43</f>
        <v>0</v>
      </c>
      <c r="M43" s="269">
        <f>+'ADM 1'!W43+'ADM 2'!R43+'LA VILLA'!P43+'LOS ALCARRIZOS'!P43+'LOS MINA'!S43+'LAS CAOBAS'!P43+AZUA!P43+BARAHONA!P43+BAYAGUANA!P43+'BATEY 6'!P43+BOYA!P43+'BOCA CACHON'!P43+'CRISTO REY'!P54+CONSTANZA!P43+CRISTOBAL!P43+DAJABON!P43+'EL SEYBO'!P43+'ELIAS PIÑA'!P43+'LA VEGA'!P43+MAO!P43+'LA ROMANA'!P43+'MONTE PLATA'!P43+MANZANILLO!P43+MONTECRISTI!P43+NAGUA!P43+NAVARRETE!P43+OCOA!P43+NEYBA!P43+PEDERNALES!P43+PEKIN!P43+PLATANITOS!P43+QUISQUEYA!P43+'PUERTO PLATA'!P43+SAMANA!P43+'SAN CRISTOBAL'!P43+'SAN FCO'!P43+'SAN JUAN'!P43+'SAN PEDRO'!P43+'SANTIAGO RDGUEZ'!P43+'VILLA GONZALEZ'!P43+MOCA!P43+'VILLA LIBERACION'!P43+BONAO!P43+GALVAN!P43+BOHECHIO!P44+PARAISO!P43+'ARROYO CANO'!P43+'POSTRER RIO'!P43+'EL YAQUE'!P43+ENRIQUILLO!P43+'HATO MAYOR'!P43+'LOTERIA NAC.'!P43+UASD!P43+HIGUEY!P43</f>
        <v>0</v>
      </c>
      <c r="N43" s="187">
        <f t="shared" si="2"/>
        <v>89175</v>
      </c>
      <c r="O43" s="183">
        <f t="shared" si="3"/>
        <v>99345</v>
      </c>
      <c r="S43" s="70"/>
      <c r="T43" s="3"/>
      <c r="U43" s="3"/>
      <c r="V43" s="70">
        <f t="shared" si="4"/>
        <v>0</v>
      </c>
    </row>
    <row r="44" spans="1:22" ht="15" customHeight="1" x14ac:dyDescent="0.3">
      <c r="C44" s="26">
        <v>29</v>
      </c>
      <c r="D44" s="264">
        <f>+'ADM 1'!D44+'ADM 2'!D44+'LA VILLA'!D44+'LOS ALCARRIZOS'!D44+'LOS MINA'!D44+'LAS CAOBAS'!D44+AZUA!D44+BARAHONA!D44+BAYAGUANA!D44+'BATEY 6'!D44+BOYA!D44+'BOCA CACHON'!D44+'CRISTO REY'!D55+CONSTANZA!D44+CRISTOBAL!D44+DAJABON!D44+'EL SEYBO'!D44+'ELIAS PIÑA'!D44+'LA VEGA'!D44+MAO!D44+'LA ROMANA'!D44+'MONTE PLATA'!D44+MANZANILLO!D44+MONTECRISTI!D44+NAGUA!D44+NAVARRETE!D44+OCOA!D44+NEYBA!D44+PEDERNALES!D44+PEKIN!D44+PLATANITOS!D44+QUISQUEYA!D44+'PUERTO PLATA'!D44+SAMANA!D44+'SAN CRISTOBAL'!D44+'SAN FCO'!D44+'SAN JUAN'!D44+'SAN PEDRO'!D44+'SANTIAGO RDGUEZ'!D44+'VILLA GONZALEZ'!D44+MOCA!D44+'VILLA LIBERACION'!D44+BONAO!D44+GALVAN!D44+BOHECHIO!D44+PARAISO!D44+'ARROYO CANO'!D44+'POSTRER RIO'!D44+'EL YAQUE'!D44+ENRIQUILLO!D44+'HATO MAYOR'!D44+'LOTERIA NAC.'!D44+UASD!D44+HIGUEY!D44</f>
        <v>33</v>
      </c>
      <c r="E44" s="264">
        <f>+'ADM 1'!E44+'ADM 2'!E44+'LA VILLA'!E44+'LOS ALCARRIZOS'!E44+'LOS MINA'!E44+'LAS CAOBAS'!E44+AZUA!E44+BARAHONA!E44+BAYAGUANA!E44+'BATEY 6'!E44+BOYA!E44+'BOCA CACHON'!E44+'CRISTO REY'!E55+CONSTANZA!E44+CRISTOBAL!E44+DAJABON!E44+'EL SEYBO'!E44+'ELIAS PIÑA'!E44+'LA VEGA'!E44+MAO!E44+'LA ROMANA'!E44+'MONTE PLATA'!E44+MANZANILLO!E44+MONTECRISTI!E44+NAGUA!E44+NAVARRETE!E44+OCOA!E44+NEYBA!E44+PEDERNALES!E44+PEKIN!E44+PLATANITOS!E44+QUISQUEYA!E44+'PUERTO PLATA'!E44+SAMANA!E44+'SAN CRISTOBAL'!E44+'SAN FCO'!E44+'SAN JUAN'!E44+'SAN PEDRO'!E44+'SANTIAGO RDGUEZ'!E44+'VILLA GONZALEZ'!E44+MOCA!E44+'VILLA LIBERACION'!E44+BONAO!E44+GALVAN!E44+BOHECHIO!E44+PARAISO!E44+'ARROYO CANO'!E44+'POSTRER RIO'!E44+'EL YAQUE'!E44+ENRIQUILLO!E44+'HATO MAYOR'!E44+'LOTERIA NAC.'!E44+UASD!E44+HIGUEY!E44</f>
        <v>0</v>
      </c>
      <c r="F44" s="318">
        <f t="shared" si="0"/>
        <v>33</v>
      </c>
      <c r="G44" s="266">
        <f>+'ADM 1'!Q44+'ADM 2'!L44+'LOS MINA'!M44+'LA VILLA'!J44+'LOS ALCARRIZOS'!J44+'LAS CAOBAS'!J44+AZUA!J44+BARAHONA!J44+BAYAGUANA!J44+'BATEY 6'!J44+BOYA!J44+'BOCA CACHON'!J44+'CRISTO REY'!J44+CONSTANZA!J44+CRISTOBAL!J44+DAJABON!J44+'EL SEYBO'!J44+'ELIAS PIÑA'!J44+'LA VEGA'!J44+MAO!J44+'LA ROMANA'!J44+'MONTE PLATA'!J44+MANZANILLO!J44+MONTECRISTI!J44+NAGUA!J44+NAVARRETE!J44+OCOA!J44+NEYBA!J44+PEDERNALES!J44+PEKIN!J44+PLATANITOS!J44+QUISQUEYA!J44+'PUERTO PLATA'!J44+SAMANA!J44+'SAN CRISTOBAL'!J44+'SAN FCO'!J44+'SAN JUAN'!J44+'SAN PEDRO'!J44+'SANTIAGO RDGUEZ'!J44+'VILLA GONZALEZ'!J44+MOCA!J44+'VILLA LIBERACION'!J44+BONAO!J44+GALVAN!J44+BOHECHIO!J44+PARAISO!J44+'ARROYO CANO'!J44+'POSTRER RIO'!J44+'EL YAQUE'!J44+ENRIQUILLO!J44+'HATO MAYOR'!J44+'LOTERIA NAC.'!J44+UASD!J44+HIGUEY!J44</f>
        <v>10148</v>
      </c>
      <c r="H44" s="270">
        <f>+'ADM 1'!R44+'ADM 2'!M44+'LOS MINA'!N44+'LA VILLA'!K44+'LOS ALCARRIZOS'!K44+'LAS CAOBAS'!K44+AZUA!K44+BARAHONA!K44+BAYAGUANA!K44+'BATEY 6'!K44+BOYA!K44+'BOCA CACHON'!K44+'CRISTO REY'!K44+CONSTANZA!K44+CRISTOBAL!K44+DAJABON!K44+'EL SEYBO'!K44+'ELIAS PIÑA'!K44+'LA VEGA'!K44+MAO!K44+'LA ROMANA'!K44+'MONTE PLATA'!K44+MANZANILLO!K44+MONTECRISTI!K44+NAGUA!K44+NAVARRETE!K44+OCOA!K44+NEYBA!K44+PEDERNALES!K44+PEKIN!K44+PLATANITOS!K44+QUISQUEYA!K44+'PUERTO PLATA'!K44+SAMANA!K44+'SAN CRISTOBAL'!K44+'SAN FCO'!K44+'SAN JUAN'!K44+'SAN PEDRO'!K44+'SANTIAGO RDGUEZ'!K44+'VILLA GONZALEZ'!K44+MOCA!K44+'VILLA LIBERACION'!K44+BONAO!K44+GALVAN!K44+BOHECHIO!K44+PARAISO!K44+'ARROYO CANO'!K44+'POSTRER RIO'!K44+'EL YAQUE'!K44+ENRIQUILLO!K44+'HATO MAYOR'!K44+'LOTERIA NAC.'!K44+UASD!K44+HIGUEY!K44</f>
        <v>2429</v>
      </c>
      <c r="I44" s="270">
        <f>+'ADM 1'!S44+'ADM 2'!N44+'LOS MINA'!O44+'LA VILLA'!L44+'LOS ALCARRIZOS'!L44+'LAS CAOBAS'!L44+AZUA!L44+BARAHONA!L44+BAYAGUANA!L44+'BATEY 6'!L44+BOYA!L44+'BOCA CACHON'!L44+'CRISTO REY'!L44+CONSTANZA!L44+CRISTOBAL!L44+DAJABON!L44+'EL SEYBO'!L44+'ELIAS PIÑA'!L44+'LA VEGA'!L44+MAO!L44+'LA ROMANA'!L44+'MONTE PLATA'!L44+MANZANILLO!L44+MONTECRISTI!L44+NAGUA!L44+NAVARRETE!L44+OCOA!L44+NEYBA!L44+PEDERNALES!L44+PEKIN!L44+PLATANITOS!L44+QUISQUEYA!L44+'PUERTO PLATA'!L44+SAMANA!L44+'SAN CRISTOBAL'!L44+'SAN FCO'!L44+'SAN JUAN'!L44+'SAN PEDRO'!L44+'SANTIAGO RDGUEZ'!L44+'VILLA GONZALEZ'!L44+MOCA!L44+'VILLA LIBERACION'!L44+BONAO!L44+GALVAN!L44+BOHECHIO!L44+PARAISO!L44+'ARROYO CANO'!L44+'POSTRER RIO'!L44+'EL YAQUE'!L44+ENRIQUILLO!L44+'HATO MAYOR'!L44+'LOTERIA NAC.'!L44+UASD!L44+HIGUEY!L44</f>
        <v>83731</v>
      </c>
      <c r="J44" s="270">
        <f>+'ADM 1'!T44+'ADM 2'!O44+'LOS MINA'!P44+'LA VILLA'!M44+'LOS ALCARRIZOS'!M44+'LAS CAOBAS'!M44+AZUA!M44+BARAHONA!M44+BAYAGUANA!M44+'BATEY 6'!M44+BOYA!M44+'BOCA CACHON'!M44+'CRISTO REY'!M44+CONSTANZA!M44+CRISTOBAL!M44+DAJABON!M44+'EL SEYBO'!M44+'ELIAS PIÑA'!M44+'LA VEGA'!M44+MAO!M44+'LA ROMANA'!M44+'MONTE PLATA'!M44+MANZANILLO!M44+MONTECRISTI!M44+NAGUA!M44+NAVARRETE!M44+OCOA!M44+NEYBA!M44+PEDERNALES!M44+PEKIN!M44+PLATANITOS!M44+QUISQUEYA!M44+'PUERTO PLATA'!M44+SAMANA!M44+'SAN CRISTOBAL'!M44+'SAN FCO'!M44+'SAN JUAN'!M44+'SAN PEDRO'!M44+'SANTIAGO RDGUEZ'!M44+'VILLA GONZALEZ'!M44+MOCA!M44+'VILLA LIBERACION'!M44+BONAO!M44+GALVAN!M44+BOHECHIO!M44+PARAISO!M44+'ARROYO CANO'!M44+'POSTRER RIO'!M44+'EL YAQUE'!M44+ENRIQUILLO!M44+'HATO MAYOR'!M44+'LOTERIA NAC.'!M44+UASD!M44+HIGUEY!M44</f>
        <v>4181</v>
      </c>
      <c r="K44" s="256">
        <f t="shared" si="1"/>
        <v>90341</v>
      </c>
      <c r="L44" s="269">
        <f>+'ADM 1'!V44+'ADM 2'!Q44+'LA VILLA'!O44+'LOS ALCARRIZOS'!O44+'LOS MINA'!R44+'LAS CAOBAS'!O44+AZUA!O44+BARAHONA!O44+BAYAGUANA!O44+'BATEY 6'!O44+BOYA!O44+'BOCA CACHON'!O44+'CRISTO REY'!O55+CONSTANZA!O44+CRISTOBAL!O44+DAJABON!O44+'EL SEYBO'!O44+'ELIAS PIÑA'!O44+'LA VEGA'!O44+MAO!O44+'LA ROMANA'!O44+'MONTE PLATA'!O44+MANZANILLO!O44+MONTECRISTI!O44+NAGUA!O44+NAVARRETE!O44+OCOA!O44+NEYBA!O44+PEDERNALES!O44+PEKIN!O44+PLATANITOS!O44+QUISQUEYA!O44+'PUERTO PLATA'!O44+SAMANA!O44+'SAN CRISTOBAL'!O44+'SAN FCO'!O44+'SAN JUAN'!O44+'SAN PEDRO'!O44+'SANTIAGO RDGUEZ'!O44+'VILLA GONZALEZ'!O44+MOCA!O44+'VILLA LIBERACION'!O44+BONAO!O44+GALVAN!O44+BOHECHIO!O45+PARAISO!O44+'ARROYO CANO'!O44+'POSTRER RIO'!O44+'EL YAQUE'!O44+ENRIQUILLO!O44+'HATO MAYOR'!O44+'LOTERIA NAC.'!O44+UASD!O44+HIGUEY!O44</f>
        <v>0</v>
      </c>
      <c r="M44" s="269">
        <f>+'ADM 1'!W44+'ADM 2'!R44+'LA VILLA'!P44+'LOS ALCARRIZOS'!P44+'LOS MINA'!S44+'LAS CAOBAS'!P44+AZUA!P44+BARAHONA!P44+BAYAGUANA!P44+'BATEY 6'!P44+BOYA!P44+'BOCA CACHON'!P44+'CRISTO REY'!P55+CONSTANZA!P44+CRISTOBAL!P44+DAJABON!P44+'EL SEYBO'!P44+'ELIAS PIÑA'!P44+'LA VEGA'!P44+MAO!P44+'LA ROMANA'!P44+'MONTE PLATA'!P44+MANZANILLO!P44+MONTECRISTI!P44+NAGUA!P44+NAVARRETE!P44+OCOA!P44+NEYBA!P44+PEDERNALES!P44+PEKIN!P44+PLATANITOS!P44+QUISQUEYA!P44+'PUERTO PLATA'!P44+SAMANA!P44+'SAN CRISTOBAL'!P44+'SAN FCO'!P44+'SAN JUAN'!P44+'SAN PEDRO'!P44+'SANTIAGO RDGUEZ'!P44+'VILLA GONZALEZ'!P44+MOCA!P44+'VILLA LIBERACION'!P44+BONAO!P44+GALVAN!P44+BOHECHIO!P45+PARAISO!P44+'ARROYO CANO'!P44+'POSTRER RIO'!P44+'EL YAQUE'!P44+ENRIQUILLO!P44+'HATO MAYOR'!P44+'LOTERIA NAC.'!P44+UASD!P44+HIGUEY!P44</f>
        <v>0</v>
      </c>
      <c r="N44" s="187">
        <f t="shared" si="2"/>
        <v>90341</v>
      </c>
      <c r="O44" s="183">
        <f t="shared" si="3"/>
        <v>100522</v>
      </c>
      <c r="S44" s="70"/>
      <c r="T44" s="3"/>
      <c r="U44" s="3"/>
      <c r="V44" s="70">
        <f t="shared" si="4"/>
        <v>0</v>
      </c>
    </row>
    <row r="45" spans="1:22" ht="15" customHeight="1" x14ac:dyDescent="0.3">
      <c r="C45" s="26">
        <v>30</v>
      </c>
      <c r="D45" s="264">
        <f>+'ADM 1'!D45+'ADM 2'!D45+'LA VILLA'!D45+'LOS ALCARRIZOS'!D45+'LOS MINA'!D45+'LAS CAOBAS'!D45+AZUA!D45+BARAHONA!D45+BAYAGUANA!D45+'BATEY 6'!D45+BOYA!D45+'BOCA CACHON'!D45+'CRISTO REY'!D56+CONSTANZA!D45+CRISTOBAL!D45+DAJABON!D45+'EL SEYBO'!D45+'ELIAS PIÑA'!D45+'LA VEGA'!D45+MAO!D45+'LA ROMANA'!D45+'MONTE PLATA'!D45+MANZANILLO!D45+MONTECRISTI!D45+NAGUA!D45+NAVARRETE!D45+OCOA!D45+NEYBA!D45+PEDERNALES!D45+PEKIN!D45+PLATANITOS!D45+QUISQUEYA!D45+'PUERTO PLATA'!D45+SAMANA!D45+'SAN CRISTOBAL'!D45+'SAN FCO'!D45+'SAN JUAN'!D45+'SAN PEDRO'!D45+'SANTIAGO RDGUEZ'!D45+'VILLA GONZALEZ'!D45+MOCA!D45+'VILLA LIBERACION'!D45+BONAO!D45+GALVAN!D45+BOHECHIO!D45+PARAISO!D45+'ARROYO CANO'!D45+'POSTRER RIO'!D45+'EL YAQUE'!D45+ENRIQUILLO!D45+'HATO MAYOR'!D45+'LOTERIA NAC.'!D45+UASD!D45+HIGUEY!D45</f>
        <v>35</v>
      </c>
      <c r="E45" s="264">
        <f>+'ADM 1'!E45+'ADM 2'!E45+'LA VILLA'!E45+'LOS ALCARRIZOS'!E45+'LOS MINA'!E45+'LAS CAOBAS'!E45+AZUA!E45+BARAHONA!E45+BAYAGUANA!E45+'BATEY 6'!E45+BOYA!E45+'BOCA CACHON'!E45+'CRISTO REY'!E56+CONSTANZA!E45+CRISTOBAL!E45+DAJABON!E45+'EL SEYBO'!E45+'ELIAS PIÑA'!E45+'LA VEGA'!E45+MAO!E45+'LA ROMANA'!E45+'MONTE PLATA'!E45+MANZANILLO!E45+MONTECRISTI!E45+NAGUA!E45+NAVARRETE!E45+OCOA!E45+NEYBA!E45+PEDERNALES!E45+PEKIN!E45+PLATANITOS!E45+QUISQUEYA!E45+'PUERTO PLATA'!E45+SAMANA!E45+'SAN CRISTOBAL'!E45+'SAN FCO'!E45+'SAN JUAN'!E45+'SAN PEDRO'!E45+'SANTIAGO RDGUEZ'!E45+'VILLA GONZALEZ'!E45+MOCA!E45+'VILLA LIBERACION'!E45+BONAO!E45+GALVAN!E45+BOHECHIO!E45+PARAISO!E45+'ARROYO CANO'!E45+'POSTRER RIO'!E45+'EL YAQUE'!E45+ENRIQUILLO!E45+'HATO MAYOR'!E45+'LOTERIA NAC.'!E45+UASD!E45+HIGUEY!E45</f>
        <v>0</v>
      </c>
      <c r="F45" s="318">
        <f t="shared" si="0"/>
        <v>35</v>
      </c>
      <c r="G45" s="266">
        <f>+'ADM 1'!Q45+'ADM 2'!L45+'LOS MINA'!M45+'LA VILLA'!J45+'LOS ALCARRIZOS'!J45+'LAS CAOBAS'!J45+AZUA!J45+BARAHONA!J45+BAYAGUANA!J45+'BATEY 6'!J45+BOYA!J45+'BOCA CACHON'!J45+'CRISTO REY'!J45+CONSTANZA!J45+CRISTOBAL!J45+DAJABON!J45+'EL SEYBO'!J45+'ELIAS PIÑA'!J45+'LA VEGA'!J45+MAO!J45+'LA ROMANA'!J45+'MONTE PLATA'!J45+MANZANILLO!J45+MONTECRISTI!J45+NAGUA!J45+NAVARRETE!J45+OCOA!J45+NEYBA!J45+PEDERNALES!J45+PEKIN!J45+PLATANITOS!J45+QUISQUEYA!J45+'PUERTO PLATA'!J45+SAMANA!J45+'SAN CRISTOBAL'!J45+'SAN FCO'!J45+'SAN JUAN'!J45+'SAN PEDRO'!J45+'SANTIAGO RDGUEZ'!J45+'VILLA GONZALEZ'!J45+MOCA!J45+'VILLA LIBERACION'!J45+BONAO!J45+GALVAN!J45+BOHECHIO!J45+PARAISO!J45+'ARROYO CANO'!J45+'POSTRER RIO'!J45+'EL YAQUE'!J45+ENRIQUILLO!J45+'HATO MAYOR'!J45+'LOTERIA NAC.'!J45+UASD!J45+HIGUEY!J45</f>
        <v>10043</v>
      </c>
      <c r="H45" s="270">
        <f>+'ADM 1'!R45+'ADM 2'!M45+'LOS MINA'!N45+'LA VILLA'!K45+'LOS ALCARRIZOS'!K45+'LAS CAOBAS'!K45+AZUA!K45+BARAHONA!K45+BAYAGUANA!K45+'BATEY 6'!K45+BOYA!K45+'BOCA CACHON'!K45+'CRISTO REY'!K45+CONSTANZA!K45+CRISTOBAL!K45+DAJABON!K45+'EL SEYBO'!K45+'ELIAS PIÑA'!K45+'LA VEGA'!K45+MAO!K45+'LA ROMANA'!K45+'MONTE PLATA'!K45+MANZANILLO!K45+MONTECRISTI!K45+NAGUA!K45+NAVARRETE!K45+OCOA!K45+NEYBA!K45+PEDERNALES!K45+PEKIN!K45+PLATANITOS!K45+QUISQUEYA!K45+'PUERTO PLATA'!K45+SAMANA!K45+'SAN CRISTOBAL'!K45+'SAN FCO'!K45+'SAN JUAN'!K45+'SAN PEDRO'!K45+'SANTIAGO RDGUEZ'!K45+'VILLA GONZALEZ'!K45+MOCA!K45+'VILLA LIBERACION'!K45+BONAO!K45+GALVAN!K45+BOHECHIO!K45+PARAISO!K45+'ARROYO CANO'!K45+'POSTRER RIO'!K45+'EL YAQUE'!K45+ENRIQUILLO!K45+'HATO MAYOR'!K45+'LOTERIA NAC.'!K45+UASD!K45+HIGUEY!K45</f>
        <v>2470</v>
      </c>
      <c r="I45" s="270">
        <f>+'ADM 1'!S45+'ADM 2'!N45+'LOS MINA'!O45+'LA VILLA'!L45+'LOS ALCARRIZOS'!L45+'LAS CAOBAS'!L45+AZUA!L45+BARAHONA!L45+BAYAGUANA!L45+'BATEY 6'!L45+BOYA!L45+'BOCA CACHON'!L45+'CRISTO REY'!L45+CONSTANZA!L45+CRISTOBAL!L45+DAJABON!L45+'EL SEYBO'!L45+'ELIAS PIÑA'!L45+'LA VEGA'!L45+MAO!L45+'LA ROMANA'!L45+'MONTE PLATA'!L45+MANZANILLO!L45+MONTECRISTI!L45+NAGUA!L45+NAVARRETE!L45+OCOA!L45+NEYBA!L45+PEDERNALES!L45+PEKIN!L45+PLATANITOS!L45+QUISQUEYA!L45+'PUERTO PLATA'!L45+SAMANA!L45+'SAN CRISTOBAL'!L45+'SAN FCO'!L45+'SAN JUAN'!L45+'SAN PEDRO'!L45+'SANTIAGO RDGUEZ'!L45+'VILLA GONZALEZ'!L45+MOCA!L45+'VILLA LIBERACION'!L45+BONAO!L45+GALVAN!L45+BOHECHIO!L45+PARAISO!L45+'ARROYO CANO'!L45+'POSTRER RIO'!L45+'EL YAQUE'!L45+ENRIQUILLO!L45+'HATO MAYOR'!L45+'LOTERIA NAC.'!L45+UASD!L45+HIGUEY!L45</f>
        <v>87276</v>
      </c>
      <c r="J45" s="270">
        <f>+'ADM 1'!T45+'ADM 2'!O45+'LOS MINA'!P45+'LA VILLA'!M45+'LOS ALCARRIZOS'!M45+'LAS CAOBAS'!M45+AZUA!M45+BARAHONA!M45+BAYAGUANA!M45+'BATEY 6'!M45+BOYA!M45+'BOCA CACHON'!M45+'CRISTO REY'!M45+CONSTANZA!M45+CRISTOBAL!M45+DAJABON!M45+'EL SEYBO'!M45+'ELIAS PIÑA'!M45+'LA VEGA'!M45+MAO!M45+'LA ROMANA'!M45+'MONTE PLATA'!M45+MANZANILLO!M45+MONTECRISTI!M45+NAGUA!M45+NAVARRETE!M45+OCOA!M45+NEYBA!M45+PEDERNALES!M45+PEKIN!M45+PLATANITOS!M45+QUISQUEYA!M45+'PUERTO PLATA'!M45+SAMANA!M45+'SAN CRISTOBAL'!M45+'SAN FCO'!M45+'SAN JUAN'!M45+'SAN PEDRO'!M45+'SANTIAGO RDGUEZ'!M45+'VILLA GONZALEZ'!M45+MOCA!M45+'VILLA LIBERACION'!M45+BONAO!M45+GALVAN!M45+BOHECHIO!M45+PARAISO!M45+'ARROYO CANO'!M45+'POSTRER RIO'!M45+'EL YAQUE'!M45+ENRIQUILLO!M45+'HATO MAYOR'!M45+'LOTERIA NAC.'!M45+UASD!M45+HIGUEY!M45</f>
        <v>5364</v>
      </c>
      <c r="K45" s="256">
        <f t="shared" si="1"/>
        <v>95110</v>
      </c>
      <c r="L45" s="269">
        <f>+'ADM 1'!V45+'ADM 2'!Q45+'LA VILLA'!O45+'LOS ALCARRIZOS'!O45+'LOS MINA'!R45+'LAS CAOBAS'!O45+AZUA!O45+BARAHONA!O45+BAYAGUANA!O45+'BATEY 6'!O45+BOYA!O45+'BOCA CACHON'!O45+'CRISTO REY'!O56+CONSTANZA!O45+CRISTOBAL!O45+DAJABON!O45+'EL SEYBO'!O45+'ELIAS PIÑA'!O45+'LA VEGA'!O45+MAO!O45+'LA ROMANA'!O45+'MONTE PLATA'!O45+MANZANILLO!O45+MONTECRISTI!O45+NAGUA!O45+NAVARRETE!O45+OCOA!O45+NEYBA!O45+PEDERNALES!O45+PEKIN!O45+PLATANITOS!O45+QUISQUEYA!O45+'PUERTO PLATA'!O45+SAMANA!O45+'SAN CRISTOBAL'!O45+'SAN FCO'!O45+'SAN JUAN'!O45+'SAN PEDRO'!O45+'SANTIAGO RDGUEZ'!O45+'VILLA GONZALEZ'!O45+MOCA!O45+'VILLA LIBERACION'!O45+BONAO!O45+GALVAN!O45+BOHECHIO!O46+PARAISO!O45+'ARROYO CANO'!O45+'POSTRER RIO'!O45+'EL YAQUE'!O45+ENRIQUILLO!O45+'HATO MAYOR'!O45+'LOTERIA NAC.'!O45+UASD!O45+HIGUEY!O45</f>
        <v>0</v>
      </c>
      <c r="M45" s="269">
        <f>+'ADM 1'!W45+'ADM 2'!R45+'LA VILLA'!P45+'LOS ALCARRIZOS'!P45+'LOS MINA'!S45+'LAS CAOBAS'!P45+AZUA!P45+BARAHONA!P45+BAYAGUANA!P45+'BATEY 6'!P45+BOYA!P45+'BOCA CACHON'!P45+'CRISTO REY'!P56+CONSTANZA!P45+CRISTOBAL!P45+DAJABON!P45+'EL SEYBO'!P45+'ELIAS PIÑA'!P45+'LA VEGA'!P45+MAO!P45+'LA ROMANA'!P45+'MONTE PLATA'!P45+MANZANILLO!P45+MONTECRISTI!P45+NAGUA!P45+NAVARRETE!P45+OCOA!P45+NEYBA!P45+PEDERNALES!P45+PEKIN!P45+PLATANITOS!P45+QUISQUEYA!P45+'PUERTO PLATA'!P45+SAMANA!P45+'SAN CRISTOBAL'!P45+'SAN FCO'!P45+'SAN JUAN'!P45+'SAN PEDRO'!P45+'SANTIAGO RDGUEZ'!P45+'VILLA GONZALEZ'!P45+MOCA!P45+'VILLA LIBERACION'!P45+BONAO!P45+GALVAN!P45+BOHECHIO!P46+PARAISO!P45+'ARROYO CANO'!P45+'POSTRER RIO'!P45+'EL YAQUE'!P45+ENRIQUILLO!P45+'HATO MAYOR'!P45+'LOTERIA NAC.'!P45+UASD!P45+HIGUEY!P45</f>
        <v>0</v>
      </c>
      <c r="N45" s="187">
        <f t="shared" si="2"/>
        <v>95110</v>
      </c>
      <c r="O45" s="183">
        <f t="shared" si="3"/>
        <v>105188</v>
      </c>
      <c r="S45" s="70"/>
      <c r="T45" s="3"/>
      <c r="U45" s="3"/>
      <c r="V45" s="70">
        <f t="shared" si="4"/>
        <v>0</v>
      </c>
    </row>
    <row r="46" spans="1:22" ht="15" customHeight="1" x14ac:dyDescent="0.3">
      <c r="C46" s="26">
        <v>31</v>
      </c>
      <c r="D46" s="264">
        <f>+'ADM 1'!D46+'ADM 2'!D46+'LA VILLA'!D46+'LOS ALCARRIZOS'!D46+'LOS MINA'!D46+'LAS CAOBAS'!D46+AZUA!D46+BARAHONA!D46+BAYAGUANA!D46+'BATEY 6'!D46+BOYA!D46+'BOCA CACHON'!D46+'CRISTO REY'!D57+CONSTANZA!D46+CRISTOBAL!D46+DAJABON!D46+'EL SEYBO'!D46+'ELIAS PIÑA'!D46+'LA VEGA'!D46+MAO!D46+'LA ROMANA'!D46+'MONTE PLATA'!D46+MANZANILLO!D46+MONTECRISTI!D46+NAGUA!D46+NAVARRETE!D46+OCOA!D46+NEYBA!D46+PEDERNALES!D46+PEKIN!D46+PLATANITOS!D46+QUISQUEYA!D46+'PUERTO PLATA'!D46+SAMANA!D46+'SAN CRISTOBAL'!D46+'SAN FCO'!D46+'SAN JUAN'!D46+'SAN PEDRO'!D46+'SANTIAGO RDGUEZ'!D46+'VILLA GONZALEZ'!D46+MOCA!D46+'VILLA LIBERACION'!D46+BONAO!D46+GALVAN!D46+BOHECHIO!D46+PARAISO!D46+'ARROYO CANO'!D46+'POSTRER RIO'!D46+'EL YAQUE'!D46+ENRIQUILLO!D46+'HATO MAYOR'!D46+'LOTERIA NAC.'!D46+UASD!D46+HIGUEY!D46</f>
        <v>0</v>
      </c>
      <c r="E46" s="264">
        <f>+'ADM 1'!E46+'ADM 2'!E46+'LA VILLA'!E46+'LOS ALCARRIZOS'!E46+'LOS MINA'!E46+'LAS CAOBAS'!E46+AZUA!E46+BARAHONA!E46+BAYAGUANA!E46+'BATEY 6'!E46+BOYA!E46+'BOCA CACHON'!E46+'CRISTO REY'!E57+CONSTANZA!E46+CRISTOBAL!E46+DAJABON!E46+'EL SEYBO'!E46+'ELIAS PIÑA'!E46+'LA VEGA'!E46+MAO!E46+'LA ROMANA'!E46+'MONTE PLATA'!E46+MANZANILLO!E46+MONTECRISTI!E46+NAGUA!E46+NAVARRETE!E46+OCOA!E46+NEYBA!E46+PEDERNALES!E46+PEKIN!E46+PLATANITOS!E46+QUISQUEYA!E46+'PUERTO PLATA'!E46+SAMANA!E46+'SAN CRISTOBAL'!E46+'SAN FCO'!E46+'SAN JUAN'!E46+'SAN PEDRO'!E46+'SANTIAGO RDGUEZ'!E46+'VILLA GONZALEZ'!E46+MOCA!E46+'VILLA LIBERACION'!E46+BONAO!E46+GALVAN!E46+BOHECHIO!E46+PARAISO!E46+'ARROYO CANO'!E46+'POSTRER RIO'!E46+'EL YAQUE'!E46+ENRIQUILLO!E46+'HATO MAYOR'!E46+'LOTERIA NAC.'!E46+UASD!E46+HIGUEY!E46</f>
        <v>0</v>
      </c>
      <c r="F46" s="318">
        <f t="shared" si="0"/>
        <v>0</v>
      </c>
      <c r="G46" s="266">
        <f>+'ADM 1'!Q46+'ADM 2'!L46+'LOS MINA'!M46+'LA VILLA'!J46+'LOS ALCARRIZOS'!J46+'LAS CAOBAS'!J46+AZUA!J46+BARAHONA!J46+BAYAGUANA!J46+'BATEY 6'!J46+BOYA!J46+'BOCA CACHON'!J46+'CRISTO REY'!J46+CONSTANZA!J46+CRISTOBAL!J46+DAJABON!J46+'EL SEYBO'!J46+'ELIAS PIÑA'!J46+'LA VEGA'!J46+MAO!J46+'LA ROMANA'!J46+'MONTE PLATA'!J46+MANZANILLO!J46+MONTECRISTI!J46+NAGUA!J46+NAVARRETE!J46+OCOA!J46+NEYBA!J46+PEDERNALES!J46+PEKIN!J46+PLATANITOS!J46+QUISQUEYA!J46+'PUERTO PLATA'!J46+SAMANA!J46+'SAN CRISTOBAL'!J46+'SAN FCO'!J46+'SAN JUAN'!J46+'SAN PEDRO'!J46+'SANTIAGO RDGUEZ'!J46+'VILLA GONZALEZ'!J46+MOCA!J46+'VILLA LIBERACION'!J46+BONAO!J46+GALVAN!J46+BOHECHIO!J46+PARAISO!J46+'ARROYO CANO'!J46+'POSTRER RIO'!J46+'EL YAQUE'!J46+ENRIQUILLO!J46+'HATO MAYOR'!J46+'LOTERIA NAC.'!J46+UASD!J46+HIGUEY!J46</f>
        <v>0</v>
      </c>
      <c r="H46" s="270">
        <f>+'ADM 1'!R46+'ADM 2'!M46+'LOS MINA'!N46+'LA VILLA'!K46+'LOS ALCARRIZOS'!K46+'LAS CAOBAS'!K46+AZUA!K46+BARAHONA!K46+BAYAGUANA!K46+'BATEY 6'!K46+BOYA!K46+'BOCA CACHON'!K46+'CRISTO REY'!K46+CONSTANZA!K46+CRISTOBAL!K46+DAJABON!K46+'EL SEYBO'!K46+'ELIAS PIÑA'!K46+'LA VEGA'!K46+MAO!K46+'LA ROMANA'!K46+'MONTE PLATA'!K46+MANZANILLO!K46+MONTECRISTI!K46+NAGUA!K46+NAVARRETE!K46+OCOA!K46+NEYBA!K46+PEDERNALES!K46+PEKIN!K46+PLATANITOS!K46+QUISQUEYA!K46+'PUERTO PLATA'!K46+SAMANA!K46+'SAN CRISTOBAL'!K46+'SAN FCO'!K46+'SAN JUAN'!K46+'SAN PEDRO'!K46+'SANTIAGO RDGUEZ'!K46+'VILLA GONZALEZ'!K46+MOCA!K46+'VILLA LIBERACION'!K46+BONAO!K46+GALVAN!K46+BOHECHIO!K46+PARAISO!K46+'ARROYO CANO'!K46+'POSTRER RIO'!K46+'EL YAQUE'!K46+ENRIQUILLO!K46+'HATO MAYOR'!K46+'LOTERIA NAC.'!K46+UASD!K46+HIGUEY!K46</f>
        <v>0</v>
      </c>
      <c r="I46" s="270">
        <f>+'ADM 1'!S46+'ADM 2'!N46+'LOS MINA'!O46+'LA VILLA'!L46+'LOS ALCARRIZOS'!L46+'LAS CAOBAS'!L46+AZUA!L46+BARAHONA!L46+BAYAGUANA!L46+'BATEY 6'!L46+BOYA!L46+'BOCA CACHON'!L46+'CRISTO REY'!L46+CONSTANZA!L46+CRISTOBAL!L46+DAJABON!L46+'EL SEYBO'!L46+'ELIAS PIÑA'!L46+'LA VEGA'!L46+MAO!L46+'LA ROMANA'!L46+'MONTE PLATA'!L46+MANZANILLO!L46+MONTECRISTI!L46+NAGUA!L46+NAVARRETE!L46+OCOA!L46+NEYBA!L46+PEDERNALES!L46+PEKIN!L46+PLATANITOS!L46+QUISQUEYA!L46+'PUERTO PLATA'!L46+SAMANA!L46+'SAN CRISTOBAL'!L46+'SAN FCO'!L46+'SAN JUAN'!L46+'SAN PEDRO'!L46+'SANTIAGO RDGUEZ'!L46+'VILLA GONZALEZ'!L46+MOCA!L46+'VILLA LIBERACION'!L46+BONAO!L46+GALVAN!L46+BOHECHIO!L46+PARAISO!L46+'ARROYO CANO'!L46+'POSTRER RIO'!L46+'EL YAQUE'!L46+ENRIQUILLO!L46+'HATO MAYOR'!L46+'LOTERIA NAC.'!L46+UASD!L46+HIGUEY!L46</f>
        <v>0</v>
      </c>
      <c r="J46" s="270">
        <f>+'ADM 1'!T46+'ADM 2'!O46+'LOS MINA'!P46+'LA VILLA'!M46+'LOS ALCARRIZOS'!M46+'LAS CAOBAS'!M46+AZUA!M46+BARAHONA!M46+BAYAGUANA!M46+'BATEY 6'!M46+BOYA!M46+'BOCA CACHON'!M46+'CRISTO REY'!M46+CONSTANZA!M46+CRISTOBAL!M46+DAJABON!M46+'EL SEYBO'!M46+'ELIAS PIÑA'!M46+'LA VEGA'!M46+MAO!M46+'LA ROMANA'!M46+'MONTE PLATA'!M46+MANZANILLO!M46+MONTECRISTI!M46+NAGUA!M46+NAVARRETE!M46+OCOA!M46+NEYBA!M46+PEDERNALES!M46+PEKIN!M46+PLATANITOS!M46+QUISQUEYA!M46+'PUERTO PLATA'!M46+SAMANA!M46+'SAN CRISTOBAL'!M46+'SAN FCO'!M46+'SAN JUAN'!M46+'SAN PEDRO'!M46+'SANTIAGO RDGUEZ'!M46+'VILLA GONZALEZ'!M46+MOCA!M46+'VILLA LIBERACION'!M46+BONAO!M46+GALVAN!M46+BOHECHIO!M46+PARAISO!M46+'ARROYO CANO'!M46+'POSTRER RIO'!M46+'EL YAQUE'!M46+ENRIQUILLO!M46+'HATO MAYOR'!M46+'LOTERIA NAC.'!M46+UASD!M46+HIGUEY!M46</f>
        <v>0</v>
      </c>
      <c r="K46" s="256">
        <f t="shared" si="1"/>
        <v>0</v>
      </c>
      <c r="L46" s="269">
        <f>+'ADM 1'!V46+'ADM 2'!Q46+'LA VILLA'!O46+'LOS ALCARRIZOS'!O46+'LOS MINA'!R46+'LAS CAOBAS'!O46+AZUA!O46+BARAHONA!O46+BAYAGUANA!O46+'BATEY 6'!O46+BOYA!O46+'BOCA CACHON'!O46+'CRISTO REY'!O57+CONSTANZA!O46+CRISTOBAL!O46+DAJABON!O46+'EL SEYBO'!O46+'ELIAS PIÑA'!O46+'LA VEGA'!O46+MAO!O46+'LA ROMANA'!O46+'MONTE PLATA'!O46+MANZANILLO!O46+MONTECRISTI!O46+NAGUA!O46+NAVARRETE!O46+OCOA!O46+NEYBA!O46+PEDERNALES!O46+PEKIN!O46+PLATANITOS!O46+QUISQUEYA!O46+'PUERTO PLATA'!O46+SAMANA!O46+'SAN CRISTOBAL'!O46+'SAN FCO'!O46+'SAN JUAN'!O46+'SAN PEDRO'!O46+'SANTIAGO RDGUEZ'!O46+'VILLA GONZALEZ'!O46+MOCA!O46+'VILLA LIBERACION'!O46+BONAO!O46+GALVAN!O46+BOHECHIO!O47+PARAISO!O46+'ARROYO CANO'!O46+'POSTRER RIO'!O46+'EL YAQUE'!O46+ENRIQUILLO!O46+'HATO MAYOR'!O46+'LOTERIA NAC.'!O46+UASD!O46+HIGUEY!O46</f>
        <v>0</v>
      </c>
      <c r="M46" s="269">
        <f>+'ADM 1'!W46+'ADM 2'!R46+'LA VILLA'!P46+'LOS ALCARRIZOS'!P46+'LOS MINA'!S46+'LAS CAOBAS'!P46+AZUA!P46+BARAHONA!P46+BAYAGUANA!P46+'BATEY 6'!P46+BOYA!P46+'BOCA CACHON'!P46+'CRISTO REY'!P57+CONSTANZA!P46+CRISTOBAL!P46+DAJABON!P46+'EL SEYBO'!P46+'ELIAS PIÑA'!P46+'LA VEGA'!P46+MAO!P46+'LA ROMANA'!P46+'MONTE PLATA'!P46+MANZANILLO!P46+MONTECRISTI!P46+NAGUA!P46+NAVARRETE!P46+OCOA!P46+NEYBA!P46+PEDERNALES!P46+PEKIN!P46+PLATANITOS!P46+QUISQUEYA!P46+'PUERTO PLATA'!P46+SAMANA!P46+'SAN CRISTOBAL'!P46+'SAN FCO'!P46+'SAN JUAN'!P46+'SAN PEDRO'!P46+'SANTIAGO RDGUEZ'!P46+'VILLA GONZALEZ'!P46+MOCA!P46+'VILLA LIBERACION'!P46+BONAO!P46+GALVAN!P46+BOHECHIO!P47+PARAISO!P46+'ARROYO CANO'!P46+'POSTRER RIO'!P46+'EL YAQUE'!P46+ENRIQUILLO!P46+'HATO MAYOR'!P46+'LOTERIA NAC.'!P46+UASD!P46+HIGUEY!P46</f>
        <v>0</v>
      </c>
      <c r="N46" s="187">
        <f t="shared" si="2"/>
        <v>0</v>
      </c>
      <c r="O46" s="183">
        <f t="shared" si="3"/>
        <v>0</v>
      </c>
      <c r="S46" s="70"/>
      <c r="T46" s="3"/>
      <c r="U46" s="3"/>
      <c r="V46" s="70">
        <f t="shared" si="4"/>
        <v>0</v>
      </c>
    </row>
    <row r="47" spans="1:22" ht="6" customHeight="1" thickBot="1" x14ac:dyDescent="0.3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2" ht="15" customHeight="1" thickBot="1" x14ac:dyDescent="0.35">
      <c r="C48" s="42" t="s">
        <v>1</v>
      </c>
      <c r="D48" s="178">
        <f>SUM(D16:D46)</f>
        <v>500</v>
      </c>
      <c r="E48" s="179">
        <f t="shared" ref="E48:J48" si="5">SUM(E16:E46)</f>
        <v>0</v>
      </c>
      <c r="F48" s="171">
        <f t="shared" si="5"/>
        <v>500</v>
      </c>
      <c r="G48" s="174">
        <f t="shared" si="5"/>
        <v>294213</v>
      </c>
      <c r="H48" s="261">
        <f t="shared" si="5"/>
        <v>56677</v>
      </c>
      <c r="I48" s="259">
        <f t="shared" si="5"/>
        <v>1875443</v>
      </c>
      <c r="J48" s="259">
        <f t="shared" si="5"/>
        <v>66984</v>
      </c>
      <c r="K48" s="274">
        <f>+H48+I48+J48</f>
        <v>1999104</v>
      </c>
      <c r="L48" s="195">
        <f>SUM(L16:L46)</f>
        <v>0</v>
      </c>
      <c r="M48" s="195">
        <f>SUM(M16:M46)</f>
        <v>0</v>
      </c>
      <c r="N48" s="268">
        <f>SUM(N16:N46)</f>
        <v>1999104</v>
      </c>
      <c r="O48" s="184">
        <f>+N48+G48+F48</f>
        <v>2293817</v>
      </c>
      <c r="S48" s="70"/>
      <c r="T48" s="70"/>
      <c r="V48" s="70">
        <f>SUM(V16:V47)</f>
        <v>0</v>
      </c>
    </row>
    <row r="49" spans="3:19" ht="15" customHeight="1" x14ac:dyDescent="0.3">
      <c r="C49" s="14"/>
      <c r="D49" s="14"/>
      <c r="E49" s="14"/>
      <c r="F49" s="14"/>
      <c r="G49" s="14"/>
      <c r="H49" s="14"/>
      <c r="I49" s="15"/>
      <c r="J49" s="14"/>
      <c r="K49" s="14"/>
      <c r="L49" s="14"/>
      <c r="M49" s="14"/>
      <c r="N49" s="14"/>
      <c r="O49" s="16"/>
    </row>
    <row r="50" spans="3:19" ht="15" customHeight="1" x14ac:dyDescent="0.3">
      <c r="D50" s="505"/>
      <c r="E50" s="505"/>
      <c r="S50" s="71"/>
    </row>
    <row r="51" spans="3:19" ht="15" customHeight="1" x14ac:dyDescent="0.3">
      <c r="R51" s="70"/>
    </row>
    <row r="52" spans="3:19" ht="15" customHeight="1" x14ac:dyDescent="0.3"/>
    <row r="53" spans="3:19" ht="15" customHeight="1" x14ac:dyDescent="0.3"/>
    <row r="54" spans="3:19" ht="15" customHeight="1" x14ac:dyDescent="0.3"/>
    <row r="55" spans="3:19" ht="15" customHeight="1" x14ac:dyDescent="0.3"/>
    <row r="56" spans="3:19" ht="15" customHeight="1" x14ac:dyDescent="0.3"/>
    <row r="57" spans="3:19" ht="15" customHeight="1" x14ac:dyDescent="0.3"/>
    <row r="58" spans="3:19" ht="15" customHeight="1" x14ac:dyDescent="0.3"/>
    <row r="59" spans="3:19" ht="15" customHeight="1" x14ac:dyDescent="0.3"/>
    <row r="60" spans="3:19" ht="15" customHeight="1" x14ac:dyDescent="0.3"/>
    <row r="61" spans="3:19" ht="15" customHeight="1" x14ac:dyDescent="0.3"/>
    <row r="62" spans="3:19" ht="15" customHeight="1" x14ac:dyDescent="0.3"/>
    <row r="63" spans="3:19" ht="15" customHeight="1" x14ac:dyDescent="0.3"/>
    <row r="64" spans="3:19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7">
    <mergeCell ref="D14:F14"/>
    <mergeCell ref="H14:N14"/>
    <mergeCell ref="C12:E12"/>
    <mergeCell ref="F12:K12"/>
    <mergeCell ref="C7:N7"/>
    <mergeCell ref="C8:O8"/>
    <mergeCell ref="C9:O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8"/>
  <sheetViews>
    <sheetView showGridLines="0" topLeftCell="A37" workbookViewId="0">
      <selection activeCell="G40" sqref="G40"/>
    </sheetView>
  </sheetViews>
  <sheetFormatPr baseColWidth="10" defaultRowHeight="14.4" x14ac:dyDescent="0.3"/>
  <cols>
    <col min="1" max="1" width="6" customWidth="1"/>
    <col min="2" max="2" width="14.88671875" customWidth="1"/>
    <col min="3" max="3" width="13.109375" customWidth="1"/>
    <col min="4" max="4" width="12" style="3" customWidth="1"/>
    <col min="5" max="5" width="11.6640625" customWidth="1"/>
    <col min="6" max="6" width="12.5546875" customWidth="1"/>
    <col min="7" max="7" width="12.33203125" style="3" customWidth="1"/>
  </cols>
  <sheetData>
    <row r="6" spans="1:12" ht="6.6" customHeight="1" x14ac:dyDescent="0.3">
      <c r="D6"/>
      <c r="G6" s="1"/>
    </row>
    <row r="7" spans="1:12" ht="21" x14ac:dyDescent="0.4">
      <c r="D7" s="47" t="s">
        <v>251</v>
      </c>
      <c r="G7" s="48">
        <f>+'PRODUCCION TOTAL'!O12</f>
        <v>2022</v>
      </c>
    </row>
    <row r="8" spans="1:12" ht="4.5" customHeight="1" x14ac:dyDescent="0.3">
      <c r="B8" s="1"/>
      <c r="C8" s="1"/>
      <c r="D8" s="2"/>
      <c r="E8" s="1"/>
      <c r="F8" s="1"/>
      <c r="G8" s="2"/>
    </row>
    <row r="9" spans="1:12" ht="23.4" x14ac:dyDescent="0.45">
      <c r="C9" s="541" t="s">
        <v>68</v>
      </c>
      <c r="D9" s="541"/>
      <c r="E9" s="541"/>
      <c r="F9" s="541"/>
      <c r="G9" s="541"/>
      <c r="H9" s="541"/>
      <c r="L9" s="49"/>
    </row>
    <row r="10" spans="1:12" ht="5.25" customHeight="1" x14ac:dyDescent="0.3">
      <c r="B10" s="1"/>
      <c r="C10" s="1"/>
      <c r="D10" s="2"/>
      <c r="E10" s="1"/>
      <c r="F10" s="1"/>
      <c r="G10" s="2"/>
    </row>
    <row r="11" spans="1:12" ht="7.5" customHeight="1" x14ac:dyDescent="0.3">
      <c r="B11" s="1"/>
      <c r="C11" s="1"/>
      <c r="D11" s="2"/>
      <c r="E11" s="1"/>
      <c r="F11" s="1"/>
      <c r="G11" s="2"/>
    </row>
    <row r="12" spans="1:12" ht="16.5" customHeight="1" x14ac:dyDescent="0.3">
      <c r="A12" s="70"/>
      <c r="B12" s="70"/>
      <c r="C12" s="4" t="s">
        <v>59</v>
      </c>
      <c r="D12" s="5"/>
      <c r="E12" s="11">
        <f>+'ADM 1'!$Y$48</f>
        <v>56652</v>
      </c>
      <c r="F12" s="4" t="s">
        <v>36</v>
      </c>
      <c r="G12" s="7"/>
      <c r="H12" s="11">
        <f>+MANZANILLO!$R$48</f>
        <v>32454</v>
      </c>
      <c r="I12" s="70"/>
      <c r="J12" s="70"/>
      <c r="K12" s="70"/>
      <c r="L12" s="70"/>
    </row>
    <row r="13" spans="1:12" ht="16.5" customHeight="1" x14ac:dyDescent="0.3">
      <c r="A13" s="70"/>
      <c r="B13" s="70"/>
      <c r="C13" s="4" t="s">
        <v>61</v>
      </c>
      <c r="D13" s="5"/>
      <c r="E13" s="11">
        <f>+'ADM 2'!$T$47</f>
        <v>90881</v>
      </c>
      <c r="F13" s="4" t="s">
        <v>37</v>
      </c>
      <c r="G13" s="6"/>
      <c r="H13" s="11">
        <f>+MAO!R48</f>
        <v>25030</v>
      </c>
      <c r="I13" s="70"/>
      <c r="J13" s="70"/>
      <c r="K13" s="70"/>
      <c r="L13" s="70"/>
    </row>
    <row r="14" spans="1:12" ht="16.5" customHeight="1" x14ac:dyDescent="0.3">
      <c r="A14" s="70"/>
      <c r="B14" s="70"/>
      <c r="C14" s="4" t="s">
        <v>11</v>
      </c>
      <c r="D14" s="5"/>
      <c r="E14" s="11">
        <f>+'LA VILLA'!$R$48</f>
        <v>69687</v>
      </c>
      <c r="F14" s="4" t="s">
        <v>15</v>
      </c>
      <c r="G14" s="6"/>
      <c r="H14" s="11">
        <f>+'MONTE PLATA'!R48</f>
        <v>15973</v>
      </c>
      <c r="I14" s="70"/>
      <c r="J14" s="70"/>
      <c r="K14" s="70"/>
      <c r="L14" s="70"/>
    </row>
    <row r="15" spans="1:12" ht="16.5" customHeight="1" x14ac:dyDescent="0.3">
      <c r="A15" s="70"/>
      <c r="B15" s="70"/>
      <c r="C15" s="4" t="s">
        <v>13</v>
      </c>
      <c r="D15" s="8"/>
      <c r="E15" s="11">
        <f>+'LAS CAOBAS'!$R$48</f>
        <v>54510</v>
      </c>
      <c r="F15" s="4" t="s">
        <v>16</v>
      </c>
      <c r="G15" s="6"/>
      <c r="H15" s="11">
        <f>+MONTECRISTI!R48</f>
        <v>20217</v>
      </c>
      <c r="I15" s="70"/>
      <c r="J15" s="70"/>
      <c r="K15" s="70"/>
      <c r="L15" s="70"/>
    </row>
    <row r="16" spans="1:12" ht="16.5" customHeight="1" x14ac:dyDescent="0.3">
      <c r="A16" s="70"/>
      <c r="B16" s="70"/>
      <c r="C16" s="4" t="s">
        <v>14</v>
      </c>
      <c r="D16" s="5"/>
      <c r="E16" s="11">
        <f>+'LOS ALCARRIZOS'!$R$48</f>
        <v>57561</v>
      </c>
      <c r="F16" s="4" t="s">
        <v>17</v>
      </c>
      <c r="G16" s="6"/>
      <c r="H16" s="11">
        <f>+NAGUA!R48</f>
        <v>37335</v>
      </c>
      <c r="I16" s="70"/>
      <c r="J16" s="70"/>
      <c r="K16" s="70"/>
      <c r="L16" s="70"/>
    </row>
    <row r="17" spans="1:12" ht="16.5" customHeight="1" x14ac:dyDescent="0.3">
      <c r="A17" s="70"/>
      <c r="B17" s="70"/>
      <c r="C17" s="4" t="s">
        <v>65</v>
      </c>
      <c r="D17" s="5"/>
      <c r="E17" s="11">
        <f>+'LOS MINA'!$U$48</f>
        <v>393439</v>
      </c>
      <c r="F17" s="4" t="s">
        <v>18</v>
      </c>
      <c r="G17" s="6"/>
      <c r="H17" s="11">
        <f>+NAVARRETE!R48</f>
        <v>18703</v>
      </c>
      <c r="I17" s="70"/>
      <c r="J17" s="70"/>
      <c r="K17" s="70"/>
      <c r="L17" s="70"/>
    </row>
    <row r="18" spans="1:12" ht="16.5" customHeight="1" x14ac:dyDescent="0.3">
      <c r="A18" s="70"/>
      <c r="B18" s="70"/>
      <c r="C18" s="4" t="s">
        <v>2</v>
      </c>
      <c r="D18" s="8"/>
      <c r="E18" s="11">
        <f>+AZUA!$R$48</f>
        <v>34407</v>
      </c>
      <c r="F18" s="4" t="s">
        <v>19</v>
      </c>
      <c r="G18" s="6"/>
      <c r="H18" s="11">
        <f>+NEYBA!R48</f>
        <v>18953</v>
      </c>
      <c r="I18" s="70"/>
      <c r="J18" s="70"/>
      <c r="K18" s="70"/>
      <c r="L18" s="70"/>
    </row>
    <row r="19" spans="1:12" ht="16.5" customHeight="1" x14ac:dyDescent="0.3">
      <c r="A19" s="70"/>
      <c r="B19" s="70"/>
      <c r="C19" s="4" t="s">
        <v>3</v>
      </c>
      <c r="D19" s="8"/>
      <c r="E19" s="11">
        <f>+BARAHONA!$R$48</f>
        <v>70962</v>
      </c>
      <c r="F19" s="4" t="s">
        <v>64</v>
      </c>
      <c r="G19" s="6"/>
      <c r="H19" s="11">
        <f>+OCOA!R48</f>
        <v>37958</v>
      </c>
      <c r="I19" s="70"/>
      <c r="J19" s="70"/>
      <c r="K19" s="70"/>
      <c r="L19" s="70"/>
    </row>
    <row r="20" spans="1:12" ht="16.5" customHeight="1" x14ac:dyDescent="0.3">
      <c r="A20" s="70"/>
      <c r="B20" s="70"/>
      <c r="C20" s="4" t="s">
        <v>5</v>
      </c>
      <c r="D20" s="8"/>
      <c r="E20" s="11">
        <f>+BAYAGUANA!$R$48</f>
        <v>25660</v>
      </c>
      <c r="F20" s="4" t="s">
        <v>20</v>
      </c>
      <c r="G20" s="6"/>
      <c r="H20" s="11">
        <f>+PEDERNALES!R48</f>
        <v>13962</v>
      </c>
      <c r="I20" s="70"/>
      <c r="J20" s="70"/>
      <c r="K20" s="70"/>
      <c r="L20" s="70"/>
    </row>
    <row r="21" spans="1:12" ht="16.5" customHeight="1" x14ac:dyDescent="0.3">
      <c r="A21" s="70"/>
      <c r="B21" s="70"/>
      <c r="C21" s="4" t="s">
        <v>44</v>
      </c>
      <c r="D21" s="5"/>
      <c r="E21" s="11">
        <f>+'BATEY 6'!$R$48</f>
        <v>24403</v>
      </c>
      <c r="F21" s="4" t="s">
        <v>21</v>
      </c>
      <c r="G21" s="6"/>
      <c r="H21" s="11">
        <f>+'PUERTO PLATA'!R48</f>
        <v>13895</v>
      </c>
      <c r="I21" s="70"/>
      <c r="J21" s="70"/>
      <c r="K21" s="70"/>
      <c r="L21" s="70"/>
    </row>
    <row r="22" spans="1:12" ht="16.5" customHeight="1" x14ac:dyDescent="0.3">
      <c r="A22" s="70"/>
      <c r="B22" s="70"/>
      <c r="C22" s="4" t="s">
        <v>40</v>
      </c>
      <c r="D22" s="5"/>
      <c r="E22" s="11">
        <f>+'BOCA CACHON'!$R$48</f>
        <v>24943</v>
      </c>
      <c r="F22" s="4" t="s">
        <v>22</v>
      </c>
      <c r="G22" s="6"/>
      <c r="H22" s="11">
        <f>+QUISQUEYA!R48</f>
        <v>20692</v>
      </c>
      <c r="I22" s="70"/>
      <c r="J22" s="70"/>
      <c r="K22" s="70"/>
      <c r="L22" s="70"/>
    </row>
    <row r="23" spans="1:12" ht="16.5" customHeight="1" x14ac:dyDescent="0.3">
      <c r="A23" s="70"/>
      <c r="B23" s="70"/>
      <c r="C23" s="4" t="s">
        <v>63</v>
      </c>
      <c r="D23" s="8"/>
      <c r="E23" s="11">
        <f>+BOYA!$R$48</f>
        <v>20330</v>
      </c>
      <c r="F23" s="4" t="s">
        <v>24</v>
      </c>
      <c r="G23" s="6"/>
      <c r="H23" s="11">
        <f>+SAMANA!R48</f>
        <v>15709</v>
      </c>
      <c r="I23" s="70"/>
      <c r="J23" s="70"/>
      <c r="K23" s="70"/>
      <c r="L23" s="70"/>
    </row>
    <row r="24" spans="1:12" ht="16.5" customHeight="1" x14ac:dyDescent="0.3">
      <c r="A24" s="70"/>
      <c r="B24" s="70"/>
      <c r="C24" s="9" t="s">
        <v>8</v>
      </c>
      <c r="D24" s="10"/>
      <c r="E24" s="11">
        <f>+CONSTANZA!$R$48</f>
        <v>23813</v>
      </c>
      <c r="F24" s="4" t="s">
        <v>25</v>
      </c>
      <c r="G24" s="6"/>
      <c r="H24" s="11">
        <f>+'SAN CRISTOBAL'!R48</f>
        <v>55306</v>
      </c>
      <c r="I24" s="70"/>
      <c r="J24" s="70"/>
      <c r="K24" s="70"/>
      <c r="L24" s="70"/>
    </row>
    <row r="25" spans="1:12" ht="16.5" customHeight="1" x14ac:dyDescent="0.3">
      <c r="A25" s="70"/>
      <c r="B25" s="70"/>
      <c r="C25" s="4" t="s">
        <v>7</v>
      </c>
      <c r="D25" s="7"/>
      <c r="E25" s="11">
        <f>+'CRISTO REY'!$R$48</f>
        <v>100407</v>
      </c>
      <c r="F25" s="4" t="s">
        <v>34</v>
      </c>
      <c r="G25" s="6"/>
      <c r="H25" s="11">
        <f>+'SAN FCO'!R48</f>
        <v>43895</v>
      </c>
      <c r="I25" s="70"/>
      <c r="J25" s="70"/>
      <c r="K25" s="70"/>
      <c r="L25" s="70"/>
    </row>
    <row r="26" spans="1:12" ht="16.5" customHeight="1" x14ac:dyDescent="0.3">
      <c r="A26" s="70"/>
      <c r="B26" s="70"/>
      <c r="C26" s="4" t="s">
        <v>42</v>
      </c>
      <c r="D26" s="5"/>
      <c r="E26" s="11">
        <f>+CRISTOBAL!$R$48</f>
        <v>13766</v>
      </c>
      <c r="F26" s="4" t="s">
        <v>26</v>
      </c>
      <c r="G26" s="6"/>
      <c r="H26" s="11">
        <f>+'SAN JUAN'!R48</f>
        <v>37067</v>
      </c>
      <c r="I26" s="70"/>
      <c r="J26" s="70"/>
      <c r="K26" s="70"/>
      <c r="L26" s="70"/>
    </row>
    <row r="27" spans="1:12" ht="16.5" customHeight="1" x14ac:dyDescent="0.3">
      <c r="A27" s="70"/>
      <c r="B27" s="70"/>
      <c r="C27" s="4" t="s">
        <v>4</v>
      </c>
      <c r="D27" s="8"/>
      <c r="E27" s="11">
        <f>+DAJABON!$R$48</f>
        <v>29692</v>
      </c>
      <c r="F27" s="4" t="s">
        <v>35</v>
      </c>
      <c r="G27" s="6"/>
      <c r="H27" s="11">
        <f>+'SAN PEDRO'!R48</f>
        <v>26614</v>
      </c>
      <c r="I27" s="70"/>
      <c r="J27" s="70"/>
      <c r="K27" s="70"/>
      <c r="L27" s="70"/>
    </row>
    <row r="28" spans="1:12" ht="16.5" customHeight="1" x14ac:dyDescent="0.3">
      <c r="A28" s="70"/>
      <c r="B28" s="70"/>
      <c r="C28" s="4" t="s">
        <v>6</v>
      </c>
      <c r="D28" s="5"/>
      <c r="E28" s="11">
        <f>+'EL SEYBO'!$R$48</f>
        <v>27823</v>
      </c>
      <c r="F28" s="4" t="s">
        <v>32</v>
      </c>
      <c r="G28" s="6"/>
      <c r="H28" s="11">
        <f>+PEKIN!R48</f>
        <v>33436</v>
      </c>
      <c r="I28" s="70"/>
      <c r="J28" s="70"/>
      <c r="K28" s="70"/>
      <c r="L28" s="70"/>
    </row>
    <row r="29" spans="1:12" ht="16.5" customHeight="1" x14ac:dyDescent="0.3">
      <c r="A29" s="70"/>
      <c r="B29" s="70"/>
      <c r="C29" s="9" t="s">
        <v>10</v>
      </c>
      <c r="D29" s="10"/>
      <c r="E29" s="11">
        <f>+'ELIAS PIÑA'!$R$48</f>
        <v>30414</v>
      </c>
      <c r="F29" s="4" t="s">
        <v>33</v>
      </c>
      <c r="G29" s="6"/>
      <c r="H29" s="11">
        <f>+PLATANITOS!R48</f>
        <v>28847</v>
      </c>
      <c r="I29" s="70"/>
      <c r="J29" s="70"/>
      <c r="K29" s="70"/>
      <c r="L29" s="70"/>
    </row>
    <row r="30" spans="1:12" ht="16.5" customHeight="1" x14ac:dyDescent="0.3">
      <c r="A30" s="70"/>
      <c r="B30" s="70"/>
      <c r="C30" s="4" t="s">
        <v>9</v>
      </c>
      <c r="D30" s="6"/>
      <c r="E30" s="11">
        <f>+'LA ROMANA'!$R$48</f>
        <v>21413</v>
      </c>
      <c r="F30" s="4" t="s">
        <v>27</v>
      </c>
      <c r="G30" s="6"/>
      <c r="H30" s="11">
        <f>+'SANTIAGO RDGUEZ'!R48</f>
        <v>26844</v>
      </c>
      <c r="I30" s="70"/>
      <c r="J30" s="70"/>
      <c r="K30" s="70"/>
      <c r="L30" s="70"/>
    </row>
    <row r="31" spans="1:12" ht="16.5" customHeight="1" x14ac:dyDescent="0.3">
      <c r="A31" s="70"/>
      <c r="B31" s="70"/>
      <c r="C31" s="4" t="s">
        <v>101</v>
      </c>
      <c r="D31" s="6"/>
      <c r="E31" s="11">
        <f>+MOCA!$R$48</f>
        <v>17705</v>
      </c>
      <c r="F31" s="4" t="s">
        <v>203</v>
      </c>
      <c r="G31" s="6"/>
      <c r="H31" s="11">
        <f>+'VILLA LIBERACION'!R48</f>
        <v>80310</v>
      </c>
      <c r="I31" s="70"/>
      <c r="J31" s="70"/>
      <c r="K31" s="70"/>
      <c r="L31" s="70"/>
    </row>
    <row r="32" spans="1:12" ht="16.5" customHeight="1" x14ac:dyDescent="0.3">
      <c r="A32" s="70"/>
      <c r="B32" s="70"/>
      <c r="C32" s="4" t="s">
        <v>12</v>
      </c>
      <c r="D32" s="6"/>
      <c r="E32" s="11">
        <f>+'LA VEGA'!$R$48</f>
        <v>27605</v>
      </c>
      <c r="F32" s="4" t="s">
        <v>39</v>
      </c>
      <c r="G32" s="6"/>
      <c r="H32" s="11">
        <f>+'VILLA GONZALEZ'!R48</f>
        <v>20430</v>
      </c>
      <c r="I32" s="70"/>
      <c r="J32" s="70"/>
      <c r="K32" s="70"/>
      <c r="L32" s="70"/>
    </row>
    <row r="33" spans="1:12" ht="16.5" customHeight="1" x14ac:dyDescent="0.3">
      <c r="A33" s="70"/>
      <c r="B33" s="70"/>
      <c r="C33" s="319" t="s">
        <v>206</v>
      </c>
      <c r="D33" s="320"/>
      <c r="E33" s="11">
        <f>+BOHECHIO!$R$48</f>
        <v>7765</v>
      </c>
      <c r="F33" s="9" t="s">
        <v>100</v>
      </c>
      <c r="G33" s="333"/>
      <c r="H33" s="11">
        <f>+BONAO!R48</f>
        <v>36055</v>
      </c>
      <c r="I33" s="70"/>
      <c r="J33" s="70"/>
      <c r="K33" s="70"/>
      <c r="L33" s="70"/>
    </row>
    <row r="34" spans="1:12" ht="16.5" customHeight="1" x14ac:dyDescent="0.3">
      <c r="A34" s="70"/>
      <c r="B34" s="70"/>
      <c r="C34" s="319" t="s">
        <v>214</v>
      </c>
      <c r="D34" s="320"/>
      <c r="E34" s="11">
        <f>+GALVAN!$R$48</f>
        <v>35949</v>
      </c>
      <c r="F34" s="9" t="s">
        <v>215</v>
      </c>
      <c r="G34" s="333"/>
      <c r="H34" s="11">
        <f>+'POSTRER RIO'!R48</f>
        <v>30954</v>
      </c>
      <c r="I34" s="70"/>
      <c r="J34" s="70"/>
      <c r="K34" s="70"/>
      <c r="L34" s="70"/>
    </row>
    <row r="35" spans="1:12" ht="24" customHeight="1" x14ac:dyDescent="0.3">
      <c r="A35" s="70"/>
      <c r="B35" s="70"/>
      <c r="C35" s="319" t="s">
        <v>225</v>
      </c>
      <c r="D35" s="320"/>
      <c r="E35" s="409">
        <f>+ENRIQUILLO!R48</f>
        <v>19053</v>
      </c>
      <c r="F35" s="9" t="s">
        <v>227</v>
      </c>
      <c r="G35" s="333"/>
      <c r="H35" s="11">
        <f>+PARAISO!R48</f>
        <v>17147</v>
      </c>
      <c r="I35" s="70"/>
      <c r="J35" s="70"/>
      <c r="K35" s="70"/>
      <c r="L35" s="70"/>
    </row>
    <row r="36" spans="1:12" ht="24" customHeight="1" thickBot="1" x14ac:dyDescent="0.35">
      <c r="A36" s="70"/>
      <c r="B36" s="70"/>
      <c r="C36" s="461" t="s">
        <v>226</v>
      </c>
      <c r="D36" s="462"/>
      <c r="E36" s="463">
        <f>+'ARROYO CANO'!R48</f>
        <v>6408</v>
      </c>
      <c r="F36" s="4" t="s">
        <v>228</v>
      </c>
      <c r="G36" s="6"/>
      <c r="H36" s="11">
        <f>+'EL YAQUE'!R48</f>
        <v>6345</v>
      </c>
      <c r="I36" s="70"/>
      <c r="J36" s="70"/>
      <c r="K36" s="70"/>
      <c r="L36" s="70"/>
    </row>
    <row r="37" spans="1:12" ht="24" customHeight="1" x14ac:dyDescent="0.3">
      <c r="A37" s="70"/>
      <c r="B37" s="70"/>
      <c r="C37" s="510" t="s">
        <v>237</v>
      </c>
      <c r="D37" s="511"/>
      <c r="E37" s="513">
        <f>+'HATO MAYOR'!R48</f>
        <v>42011</v>
      </c>
      <c r="F37" s="4" t="s">
        <v>241</v>
      </c>
      <c r="G37" s="476"/>
      <c r="H37" s="11">
        <f>+'LOTERIA NAC.'!R48</f>
        <v>8882</v>
      </c>
      <c r="I37" s="70"/>
      <c r="J37" s="70"/>
    </row>
    <row r="38" spans="1:12" ht="24" customHeight="1" x14ac:dyDescent="0.3">
      <c r="C38" s="319" t="s">
        <v>248</v>
      </c>
      <c r="D38" s="512"/>
      <c r="E38" s="409">
        <f>+UASD!R48</f>
        <v>223152</v>
      </c>
      <c r="F38" s="4" t="s">
        <v>255</v>
      </c>
      <c r="G38" s="476"/>
      <c r="H38" s="518">
        <f>+HIGUEY!R48</f>
        <v>20393</v>
      </c>
      <c r="J38" s="70"/>
    </row>
    <row r="39" spans="1:12" ht="24" customHeight="1" x14ac:dyDescent="0.3">
      <c r="C39" s="540" t="s">
        <v>66</v>
      </c>
      <c r="D39" s="540"/>
      <c r="E39" s="540"/>
      <c r="F39" s="540"/>
      <c r="G39" s="538">
        <f>(SUM(E12:E38))+(SUM(H12:H38))</f>
        <v>2293817</v>
      </c>
      <c r="H39" s="539"/>
      <c r="I39" s="70"/>
      <c r="J39" s="70"/>
      <c r="K39" s="70"/>
    </row>
    <row r="40" spans="1:12" x14ac:dyDescent="0.3">
      <c r="K40" s="70"/>
    </row>
    <row r="41" spans="1:12" ht="20.100000000000001" customHeight="1" x14ac:dyDescent="0.3">
      <c r="D41" s="43" t="s">
        <v>31</v>
      </c>
      <c r="E41" s="43" t="s">
        <v>29</v>
      </c>
      <c r="F41" s="44" t="s">
        <v>30</v>
      </c>
      <c r="G41" s="45" t="s">
        <v>1</v>
      </c>
    </row>
    <row r="42" spans="1:12" ht="6" customHeight="1" x14ac:dyDescent="0.3">
      <c r="D42"/>
      <c r="G42"/>
    </row>
    <row r="43" spans="1:12" ht="20.100000000000001" customHeight="1" x14ac:dyDescent="0.35">
      <c r="D43" s="46">
        <f>+'PRODUCCION TOTAL'!F48</f>
        <v>500</v>
      </c>
      <c r="E43" s="46">
        <f>+'PRODUCCION TOTAL'!G48</f>
        <v>294213</v>
      </c>
      <c r="F43" s="46">
        <f>+'PRODUCCION TOTAL'!N48</f>
        <v>1999104</v>
      </c>
      <c r="G43" s="46">
        <f>SUM(D43:F43)</f>
        <v>2293817</v>
      </c>
      <c r="H43" s="70"/>
      <c r="I43" s="70"/>
    </row>
    <row r="44" spans="1:12" ht="20.100000000000001" customHeight="1" x14ac:dyDescent="0.3">
      <c r="D44"/>
      <c r="G44"/>
    </row>
    <row r="45" spans="1:12" ht="20.100000000000001" customHeight="1" x14ac:dyDescent="0.3">
      <c r="D45"/>
      <c r="G45" s="70"/>
      <c r="H45" s="70"/>
    </row>
    <row r="46" spans="1:12" ht="20.100000000000001" customHeight="1" x14ac:dyDescent="0.3">
      <c r="D46"/>
      <c r="G46" s="70"/>
    </row>
    <row r="47" spans="1:12" ht="20.100000000000001" customHeight="1" x14ac:dyDescent="0.3">
      <c r="D47"/>
      <c r="G47"/>
    </row>
    <row r="48" spans="1:12" ht="20.100000000000001" customHeight="1" x14ac:dyDescent="0.3"/>
    <row r="49" spans="4:7" x14ac:dyDescent="0.3">
      <c r="D49"/>
      <c r="G49"/>
    </row>
    <row r="50" spans="4:7" x14ac:dyDescent="0.3">
      <c r="D50"/>
      <c r="G50"/>
    </row>
    <row r="51" spans="4:7" ht="6.75" customHeight="1" x14ac:dyDescent="0.3">
      <c r="D51"/>
      <c r="G51"/>
    </row>
    <row r="52" spans="4:7" x14ac:dyDescent="0.3">
      <c r="D52"/>
      <c r="G52"/>
    </row>
    <row r="53" spans="4:7" ht="12.75" customHeight="1" x14ac:dyDescent="0.3">
      <c r="D53"/>
      <c r="G53"/>
    </row>
    <row r="54" spans="4:7" x14ac:dyDescent="0.3">
      <c r="D54"/>
      <c r="G54"/>
    </row>
    <row r="55" spans="4:7" ht="13.5" customHeight="1" x14ac:dyDescent="0.3">
      <c r="D55"/>
      <c r="G55"/>
    </row>
    <row r="56" spans="4:7" ht="21" customHeight="1" x14ac:dyDescent="0.3">
      <c r="D56"/>
      <c r="G56"/>
    </row>
    <row r="57" spans="4:7" ht="6" customHeight="1" x14ac:dyDescent="0.3">
      <c r="D57"/>
      <c r="G57"/>
    </row>
    <row r="58" spans="4:7" x14ac:dyDescent="0.3">
      <c r="D58"/>
      <c r="G58"/>
    </row>
    <row r="59" spans="4:7" ht="6" customHeight="1" x14ac:dyDescent="0.3">
      <c r="D59"/>
      <c r="G59"/>
    </row>
    <row r="60" spans="4:7" ht="20.100000000000001" customHeight="1" x14ac:dyDescent="0.3">
      <c r="D60"/>
      <c r="G60"/>
    </row>
    <row r="61" spans="4:7" ht="20.100000000000001" customHeight="1" x14ac:dyDescent="0.3">
      <c r="D61"/>
      <c r="G61"/>
    </row>
    <row r="62" spans="4:7" ht="20.100000000000001" customHeight="1" x14ac:dyDescent="0.3">
      <c r="D62"/>
      <c r="G62"/>
    </row>
    <row r="63" spans="4:7" ht="20.100000000000001" customHeight="1" x14ac:dyDescent="0.3">
      <c r="D63"/>
      <c r="G63"/>
    </row>
    <row r="64" spans="4:7" ht="20.100000000000001" customHeight="1" x14ac:dyDescent="0.3">
      <c r="D64"/>
      <c r="G64"/>
    </row>
    <row r="65" spans="4:7" ht="20.100000000000001" customHeight="1" x14ac:dyDescent="0.3">
      <c r="D65"/>
      <c r="G65"/>
    </row>
    <row r="66" spans="4:7" ht="20.100000000000001" customHeight="1" x14ac:dyDescent="0.3">
      <c r="D66"/>
      <c r="G66"/>
    </row>
    <row r="67" spans="4:7" x14ac:dyDescent="0.3">
      <c r="D67"/>
      <c r="G67"/>
    </row>
    <row r="68" spans="4:7" x14ac:dyDescent="0.3">
      <c r="D68"/>
      <c r="G68"/>
    </row>
  </sheetData>
  <mergeCells count="3">
    <mergeCell ref="G39:H39"/>
    <mergeCell ref="C39:F39"/>
    <mergeCell ref="C9:H9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1"/>
  <sheetViews>
    <sheetView showGridLines="0" tabSelected="1" topLeftCell="A293" zoomScale="60" zoomScaleNormal="60" zoomScaleSheetLayoutView="50" zoomScalePageLayoutView="30" workbookViewId="0">
      <selection activeCell="M303" sqref="M303"/>
    </sheetView>
  </sheetViews>
  <sheetFormatPr baseColWidth="10" defaultColWidth="32.88671875" defaultRowHeight="13.8" x14ac:dyDescent="0.3"/>
  <cols>
    <col min="1" max="1" width="8.33203125" style="72" customWidth="1"/>
    <col min="2" max="2" width="22.21875" style="72" customWidth="1"/>
    <col min="3" max="3" width="10.6640625" style="73" customWidth="1"/>
    <col min="4" max="4" width="12.77734375" style="73" customWidth="1"/>
    <col min="5" max="5" width="14.77734375" style="73" customWidth="1"/>
    <col min="6" max="6" width="12.109375" style="73" customWidth="1"/>
    <col min="7" max="7" width="9.88671875" style="73" customWidth="1"/>
    <col min="8" max="8" width="16.88671875" style="73" customWidth="1"/>
    <col min="9" max="9" width="22.44140625" style="73" customWidth="1"/>
    <col min="10" max="10" width="11.109375" style="73" customWidth="1"/>
    <col min="11" max="11" width="13.109375" style="73" customWidth="1"/>
    <col min="12" max="12" width="12.44140625" style="73" customWidth="1"/>
    <col min="13" max="13" width="23.109375" style="72" bestFit="1" customWidth="1"/>
    <col min="14" max="14" width="2.109375" style="72" bestFit="1" customWidth="1"/>
    <col min="15" max="15" width="18.21875" style="72" customWidth="1"/>
    <col min="16" max="16" width="14.88671875" style="72" customWidth="1"/>
    <col min="17" max="16384" width="32.88671875" style="72"/>
  </cols>
  <sheetData>
    <row r="1" spans="2:13" x14ac:dyDescent="0.3">
      <c r="B1" s="72" t="s">
        <v>88</v>
      </c>
    </row>
    <row r="12" spans="2:13" x14ac:dyDescent="0.3">
      <c r="B12" s="73"/>
      <c r="M12" s="660" t="s">
        <v>89</v>
      </c>
    </row>
    <row r="13" spans="2:13" x14ac:dyDescent="0.3">
      <c r="B13" s="73"/>
      <c r="M13" s="661"/>
    </row>
    <row r="14" spans="2:13" x14ac:dyDescent="0.3"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3"/>
      <c r="M14" s="661"/>
    </row>
    <row r="15" spans="2:13" ht="26.4" customHeight="1" x14ac:dyDescent="0.3">
      <c r="C15" s="641" t="s">
        <v>45</v>
      </c>
      <c r="D15" s="641"/>
      <c r="E15" s="641"/>
      <c r="F15" s="641"/>
      <c r="G15" s="641"/>
      <c r="H15" s="641"/>
      <c r="I15" s="641"/>
      <c r="J15" s="641"/>
      <c r="K15" s="353"/>
      <c r="L15" s="74"/>
      <c r="M15" s="661"/>
    </row>
    <row r="16" spans="2:13" ht="15.6" x14ac:dyDescent="0.3">
      <c r="C16" s="642" t="s">
        <v>46</v>
      </c>
      <c r="D16" s="642"/>
      <c r="E16" s="642"/>
      <c r="F16" s="642"/>
      <c r="G16" s="642"/>
      <c r="H16" s="642"/>
      <c r="I16" s="642"/>
      <c r="J16" s="642"/>
      <c r="K16" s="354"/>
      <c r="L16" s="75"/>
      <c r="M16" s="662"/>
    </row>
    <row r="17" spans="1:15" ht="18" x14ac:dyDescent="0.35">
      <c r="C17" s="643" t="s">
        <v>253</v>
      </c>
      <c r="D17" s="643"/>
      <c r="E17" s="643"/>
      <c r="F17" s="643"/>
      <c r="G17" s="643"/>
      <c r="H17" s="643"/>
      <c r="I17" s="643"/>
      <c r="J17" s="643"/>
      <c r="K17" s="355"/>
      <c r="L17" s="76"/>
      <c r="M17" s="663" t="str">
        <f>+'VILLA GONZALEZ'!M12</f>
        <v>SEPTIEMBRE</v>
      </c>
    </row>
    <row r="18" spans="1:15" x14ac:dyDescent="0.3">
      <c r="C18" s="644" t="s">
        <v>90</v>
      </c>
      <c r="D18" s="644"/>
      <c r="E18" s="644"/>
      <c r="F18" s="644"/>
      <c r="G18" s="644"/>
      <c r="H18" s="644"/>
      <c r="I18" s="644"/>
      <c r="J18" s="644"/>
      <c r="K18" s="356"/>
      <c r="L18" s="77"/>
      <c r="M18" s="664"/>
    </row>
    <row r="19" spans="1:15" ht="14.4" thickBot="1" x14ac:dyDescent="0.35">
      <c r="M19" s="645">
        <v>70</v>
      </c>
    </row>
    <row r="20" spans="1:15" ht="15" thickBot="1" x14ac:dyDescent="0.35">
      <c r="B20" s="290"/>
      <c r="C20"/>
      <c r="D20"/>
      <c r="E20"/>
      <c r="F20"/>
      <c r="G20"/>
      <c r="H20" s="647" t="s">
        <v>205</v>
      </c>
      <c r="I20" s="648"/>
      <c r="J20" s="648"/>
      <c r="K20" s="648"/>
      <c r="L20" s="649"/>
      <c r="M20" s="646"/>
    </row>
    <row r="21" spans="1:15" ht="35.4" customHeight="1" thickBot="1" x14ac:dyDescent="0.35">
      <c r="B21"/>
      <c r="C21" s="650" t="s">
        <v>132</v>
      </c>
      <c r="D21" s="651"/>
      <c r="E21" s="309" t="s">
        <v>199</v>
      </c>
      <c r="F21" s="302" t="s">
        <v>198</v>
      </c>
      <c r="G21" s="413" t="s">
        <v>200</v>
      </c>
      <c r="H21" s="310" t="s">
        <v>94</v>
      </c>
      <c r="I21" s="303" t="s">
        <v>81</v>
      </c>
      <c r="J21" s="414" t="s">
        <v>83</v>
      </c>
      <c r="K21" s="416" t="s">
        <v>185</v>
      </c>
      <c r="L21" s="417" t="s">
        <v>58</v>
      </c>
      <c r="M21" s="415" t="s">
        <v>95</v>
      </c>
    </row>
    <row r="22" spans="1:15" s="149" customFormat="1" ht="18.600000000000001" thickBot="1" x14ac:dyDescent="0.35">
      <c r="B22" s="291"/>
      <c r="C22" s="312"/>
      <c r="D22" s="313"/>
      <c r="E22" s="291"/>
      <c r="F22" s="291"/>
      <c r="G22" s="291"/>
      <c r="H22" s="291"/>
      <c r="I22" s="291"/>
      <c r="J22" s="301"/>
      <c r="M22" s="292"/>
    </row>
    <row r="23" spans="1:15" ht="18.600000000000001" thickBot="1" x14ac:dyDescent="0.35">
      <c r="C23" s="652" t="s">
        <v>204</v>
      </c>
      <c r="D23" s="653"/>
      <c r="E23" s="418">
        <v>65</v>
      </c>
      <c r="F23" s="419">
        <v>30</v>
      </c>
      <c r="G23" s="420">
        <v>45</v>
      </c>
      <c r="H23" s="421">
        <f>+'[1]RESUMEN X COCINA'!$N$54</f>
        <v>36373</v>
      </c>
      <c r="I23" s="422">
        <f>+'[1]RESUMEN X COCINA'!$M$54</f>
        <v>8090</v>
      </c>
      <c r="J23" s="423">
        <f>+'[1]RESUMEN X COCINA'!$O$54</f>
        <v>14502</v>
      </c>
      <c r="K23" s="424"/>
      <c r="L23" s="425">
        <f>+H23+I23+J23+K23</f>
        <v>58965</v>
      </c>
      <c r="M23" s="426">
        <f>+'[1]COCINA 32 OBRAS P.'!$P$45</f>
        <v>3259535</v>
      </c>
    </row>
    <row r="24" spans="1:15" ht="9" customHeight="1" thickBot="1" x14ac:dyDescent="0.35">
      <c r="B24"/>
      <c r="C24" s="72"/>
      <c r="D24" s="79"/>
      <c r="E24" s="79"/>
      <c r="F24" s="79"/>
      <c r="G24" s="79"/>
      <c r="H24" s="293"/>
      <c r="I24" s="79"/>
      <c r="J24" s="79"/>
      <c r="K24" s="79"/>
      <c r="L24" s="79"/>
      <c r="M24" s="294"/>
    </row>
    <row r="25" spans="1:15" ht="42.6" customHeight="1" thickBot="1" x14ac:dyDescent="0.35">
      <c r="C25" s="654" t="s">
        <v>194</v>
      </c>
      <c r="D25" s="655"/>
      <c r="E25" s="655"/>
      <c r="F25" s="655"/>
      <c r="G25" s="656"/>
      <c r="H25" s="311" t="s">
        <v>195</v>
      </c>
      <c r="I25" s="302" t="s">
        <v>196</v>
      </c>
      <c r="J25" s="303" t="s">
        <v>197</v>
      </c>
      <c r="K25" s="416" t="s">
        <v>185</v>
      </c>
      <c r="L25" s="427" t="s">
        <v>58</v>
      </c>
      <c r="M25" s="428" t="s">
        <v>95</v>
      </c>
    </row>
    <row r="26" spans="1:15" ht="19.2" customHeight="1" thickBot="1" x14ac:dyDescent="0.35">
      <c r="A26"/>
      <c r="C26" s="657" t="s">
        <v>192</v>
      </c>
      <c r="D26" s="658"/>
      <c r="E26" s="658"/>
      <c r="F26" s="658"/>
      <c r="G26" s="659"/>
      <c r="H26" s="445">
        <f>+'[1]RESUMEN X COCINA'!$L$54</f>
        <v>303743</v>
      </c>
      <c r="I26" s="445"/>
      <c r="J26" s="446"/>
      <c r="K26" s="424">
        <f>SUM(H26:J26)</f>
        <v>303743</v>
      </c>
      <c r="L26" s="447">
        <f>+K26</f>
        <v>303743</v>
      </c>
      <c r="M26" s="448">
        <f>+L26*M19</f>
        <v>21262010</v>
      </c>
      <c r="O26" s="465"/>
    </row>
    <row r="27" spans="1:15" s="149" customFormat="1" ht="7.8" customHeight="1" thickBot="1" x14ac:dyDescent="0.35">
      <c r="A27"/>
      <c r="B27"/>
      <c r="C27" s="79"/>
      <c r="D27" s="79"/>
      <c r="E27" s="79"/>
      <c r="F27" s="79"/>
      <c r="G27" s="79"/>
      <c r="H27" s="121"/>
      <c r="I27" s="79"/>
      <c r="J27" s="79"/>
      <c r="K27" s="79"/>
      <c r="L27" s="79"/>
      <c r="M27" s="87"/>
    </row>
    <row r="28" spans="1:15" ht="16.2" thickBot="1" x14ac:dyDescent="0.35">
      <c r="A28"/>
      <c r="B28"/>
      <c r="C28" s="665" t="s">
        <v>50</v>
      </c>
      <c r="D28" s="666"/>
      <c r="E28" s="665" t="s">
        <v>193</v>
      </c>
      <c r="F28" s="667"/>
      <c r="G28" s="667"/>
      <c r="H28" s="667"/>
      <c r="I28" s="667"/>
      <c r="J28" s="667"/>
      <c r="K28" s="667"/>
      <c r="L28" s="666"/>
      <c r="M28"/>
    </row>
    <row r="29" spans="1:15" ht="41.4" customHeight="1" thickBot="1" x14ac:dyDescent="0.35">
      <c r="B29" s="429" t="s">
        <v>99</v>
      </c>
      <c r="C29" s="430" t="s">
        <v>92</v>
      </c>
      <c r="D29" s="431" t="s">
        <v>93</v>
      </c>
      <c r="E29" s="295" t="s">
        <v>189</v>
      </c>
      <c r="F29" s="295" t="s">
        <v>190</v>
      </c>
      <c r="G29" s="295" t="s">
        <v>191</v>
      </c>
      <c r="H29" s="433" t="s">
        <v>182</v>
      </c>
      <c r="I29" s="432" t="s">
        <v>81</v>
      </c>
      <c r="J29" s="432" t="s">
        <v>83</v>
      </c>
      <c r="K29" s="416" t="s">
        <v>185</v>
      </c>
      <c r="L29" s="434" t="s">
        <v>58</v>
      </c>
      <c r="M29" s="428" t="s">
        <v>95</v>
      </c>
    </row>
    <row r="30" spans="1:15" x14ac:dyDescent="0.3">
      <c r="B30" s="452" t="s">
        <v>102</v>
      </c>
      <c r="C30" s="276"/>
      <c r="D30" s="273"/>
      <c r="E30" s="277"/>
      <c r="F30" s="277"/>
      <c r="G30" s="296"/>
      <c r="H30" s="298">
        <f>+G30+F30+E30</f>
        <v>0</v>
      </c>
      <c r="I30" s="297"/>
      <c r="J30" s="297"/>
      <c r="K30" s="300">
        <f>+J30+I30+H30</f>
        <v>0</v>
      </c>
      <c r="L30" s="299">
        <f>+K30+D30+C30</f>
        <v>0</v>
      </c>
      <c r="M30" s="80">
        <f>+L30*M$19</f>
        <v>0</v>
      </c>
      <c r="N30" s="143"/>
    </row>
    <row r="31" spans="1:15" ht="15.6" x14ac:dyDescent="0.3">
      <c r="B31" s="454" t="s">
        <v>103</v>
      </c>
      <c r="C31" s="82">
        <f>SUM(C30:C30)</f>
        <v>0</v>
      </c>
      <c r="D31" s="82">
        <f>SUM(D30:D30)</f>
        <v>0</v>
      </c>
      <c r="E31" s="82">
        <f>SUM(E30:E30)</f>
        <v>0</v>
      </c>
      <c r="F31" s="82">
        <f>SUM(F30:F30)</f>
        <v>0</v>
      </c>
      <c r="G31" s="272">
        <f>SUM(G30:G30)</f>
        <v>0</v>
      </c>
      <c r="H31" s="314">
        <f>+G31+F31+E31</f>
        <v>0</v>
      </c>
      <c r="I31" s="82">
        <f>SUM(I30:I30)</f>
        <v>0</v>
      </c>
      <c r="J31" s="82">
        <f>SUM(J30:J30)</f>
        <v>0</v>
      </c>
      <c r="K31" s="93">
        <f>SUM(K30:K30)</f>
        <v>0</v>
      </c>
      <c r="L31" s="93">
        <f>SUM(L30:L30)</f>
        <v>0</v>
      </c>
      <c r="M31" s="83">
        <f>SUM(M30:M30)</f>
        <v>0</v>
      </c>
    </row>
    <row r="32" spans="1:15" ht="5.25" customHeight="1" x14ac:dyDescent="0.3">
      <c r="B32" s="453"/>
      <c r="C32" s="84"/>
      <c r="D32" s="84"/>
      <c r="E32" s="84"/>
      <c r="F32" s="84"/>
      <c r="G32" s="84"/>
      <c r="H32" s="84"/>
      <c r="I32" s="84"/>
      <c r="J32" s="84"/>
      <c r="K32"/>
      <c r="L32"/>
      <c r="M32"/>
    </row>
    <row r="33" spans="2:16" ht="18.600000000000001" thickBot="1" x14ac:dyDescent="0.4">
      <c r="B33" s="668" t="s">
        <v>104</v>
      </c>
      <c r="C33" s="669"/>
      <c r="D33" s="669"/>
      <c r="E33" s="669"/>
      <c r="F33" s="669"/>
      <c r="G33" s="669"/>
      <c r="H33" s="669"/>
      <c r="I33" s="670"/>
      <c r="J33" s="670"/>
      <c r="K33" s="670"/>
      <c r="L33" s="669"/>
      <c r="M33" s="671"/>
    </row>
    <row r="34" spans="2:16" ht="35.4" customHeight="1" thickBot="1" x14ac:dyDescent="0.35">
      <c r="B34" s="442" t="s">
        <v>91</v>
      </c>
      <c r="C34" s="443" t="s">
        <v>92</v>
      </c>
      <c r="D34" s="444" t="s">
        <v>93</v>
      </c>
      <c r="E34" s="279" t="s">
        <v>189</v>
      </c>
      <c r="F34" s="279" t="s">
        <v>190</v>
      </c>
      <c r="G34" s="279" t="s">
        <v>191</v>
      </c>
      <c r="H34" s="439" t="s">
        <v>182</v>
      </c>
      <c r="I34" s="432" t="s">
        <v>81</v>
      </c>
      <c r="J34" s="432" t="s">
        <v>83</v>
      </c>
      <c r="K34" s="416" t="s">
        <v>185</v>
      </c>
      <c r="L34" s="440" t="s">
        <v>58</v>
      </c>
      <c r="M34" s="441" t="s">
        <v>95</v>
      </c>
    </row>
    <row r="35" spans="2:16" s="149" customFormat="1" ht="3.75" customHeight="1" x14ac:dyDescent="0.3">
      <c r="C35" s="150"/>
      <c r="D35" s="150"/>
      <c r="E35" s="150"/>
      <c r="F35" s="150"/>
      <c r="G35" s="150"/>
    </row>
    <row r="36" spans="2:16" ht="18" customHeight="1" x14ac:dyDescent="0.3">
      <c r="B36" s="78" t="s">
        <v>105</v>
      </c>
      <c r="C36" s="275">
        <f>+'ADM 1'!F$48</f>
        <v>0</v>
      </c>
      <c r="D36" s="273">
        <f>+'ADM 1'!Q$48</f>
        <v>15158</v>
      </c>
      <c r="E36" s="277">
        <f>+'ADM 1'!R$48</f>
        <v>2780</v>
      </c>
      <c r="F36" s="277">
        <f>+'ADM 1'!S$48</f>
        <v>38714</v>
      </c>
      <c r="G36" s="277">
        <f>+'ADM 1'!T$48</f>
        <v>0</v>
      </c>
      <c r="H36" s="278">
        <f t="shared" ref="H36:H41" si="0">+E36+F36+G36</f>
        <v>41494</v>
      </c>
      <c r="I36" s="283">
        <f>+'ADM 1'!V$48</f>
        <v>0</v>
      </c>
      <c r="J36" s="283">
        <f>+'ADM 1'!W$48</f>
        <v>0</v>
      </c>
      <c r="K36" s="288">
        <f t="shared" ref="K36:K78" si="1">+H36+I36+J36</f>
        <v>41494</v>
      </c>
      <c r="L36" s="289">
        <f t="shared" ref="L36:L78" si="2">+K36+D36+C36</f>
        <v>56652</v>
      </c>
      <c r="M36" s="85">
        <f t="shared" ref="M36:M78" si="3">+L36*M$19</f>
        <v>3965640</v>
      </c>
      <c r="O36" s="464"/>
      <c r="P36" s="465"/>
    </row>
    <row r="37" spans="2:16" ht="18" customHeight="1" x14ac:dyDescent="0.3">
      <c r="B37" s="78" t="s">
        <v>106</v>
      </c>
      <c r="C37" s="275">
        <f>+'ADM 2'!F$47</f>
        <v>0</v>
      </c>
      <c r="D37" s="273">
        <f>+'ADM 2'!L$47</f>
        <v>400</v>
      </c>
      <c r="E37" s="277">
        <f>+'ADM 2'!M$47</f>
        <v>11030</v>
      </c>
      <c r="F37" s="277">
        <f>+'ADM 2'!N$47</f>
        <v>79451</v>
      </c>
      <c r="G37" s="277">
        <f>+'ADM 2'!O$47</f>
        <v>0</v>
      </c>
      <c r="H37" s="278">
        <f t="shared" si="0"/>
        <v>90481</v>
      </c>
      <c r="I37" s="283">
        <f>+'ADM 2'!Q$47</f>
        <v>0</v>
      </c>
      <c r="J37" s="283">
        <f>+'ADM 2'!R$47</f>
        <v>0</v>
      </c>
      <c r="K37" s="288">
        <f t="shared" si="1"/>
        <v>90481</v>
      </c>
      <c r="L37" s="289">
        <f t="shared" si="2"/>
        <v>90881</v>
      </c>
      <c r="M37" s="85">
        <f t="shared" si="3"/>
        <v>6361670</v>
      </c>
      <c r="O37" s="464"/>
      <c r="P37" s="465"/>
    </row>
    <row r="38" spans="2:16" ht="18" customHeight="1" x14ac:dyDescent="0.3">
      <c r="B38" s="78" t="s">
        <v>65</v>
      </c>
      <c r="C38" s="275">
        <f>+'LOS MINA'!F$48</f>
        <v>0</v>
      </c>
      <c r="D38" s="273">
        <f>+'LOS MINA'!M$48</f>
        <v>244530</v>
      </c>
      <c r="E38" s="277">
        <f>+'LOS MINA'!N$48</f>
        <v>1680</v>
      </c>
      <c r="F38" s="277">
        <f>+'LOS MINA'!O$48</f>
        <v>147229</v>
      </c>
      <c r="G38" s="277">
        <f>+'LOS MINA'!P$48</f>
        <v>0</v>
      </c>
      <c r="H38" s="278">
        <f t="shared" si="0"/>
        <v>148909</v>
      </c>
      <c r="I38" s="283">
        <f>+'LOS MINA'!R$48</f>
        <v>0</v>
      </c>
      <c r="J38" s="283">
        <f>+'LOS MINA'!S$48</f>
        <v>0</v>
      </c>
      <c r="K38" s="288">
        <f t="shared" si="1"/>
        <v>148909</v>
      </c>
      <c r="L38" s="289">
        <f t="shared" si="2"/>
        <v>393439</v>
      </c>
      <c r="M38" s="85">
        <f t="shared" si="3"/>
        <v>27540730</v>
      </c>
      <c r="O38" s="464"/>
      <c r="P38" s="465"/>
    </row>
    <row r="39" spans="2:16" ht="18" customHeight="1" x14ac:dyDescent="0.3">
      <c r="B39" s="78" t="s">
        <v>107</v>
      </c>
      <c r="C39" s="275">
        <f>+'LA VILLA'!F$48</f>
        <v>0</v>
      </c>
      <c r="D39" s="273">
        <f>+'LA VILLA'!J$48</f>
        <v>1230</v>
      </c>
      <c r="E39" s="277">
        <f>+'LA VILLA'!K$48</f>
        <v>4898</v>
      </c>
      <c r="F39" s="277">
        <f>+'LA VILLA'!L$48</f>
        <v>63559</v>
      </c>
      <c r="G39" s="277">
        <f>+'LA VILLA'!M$48</f>
        <v>0</v>
      </c>
      <c r="H39" s="278">
        <f t="shared" si="0"/>
        <v>68457</v>
      </c>
      <c r="I39" s="283">
        <f>+'LA VILLA'!O$48</f>
        <v>0</v>
      </c>
      <c r="J39" s="283">
        <f>+'LA VILLA'!P$48</f>
        <v>0</v>
      </c>
      <c r="K39" s="288">
        <f t="shared" si="1"/>
        <v>68457</v>
      </c>
      <c r="L39" s="289">
        <f t="shared" si="2"/>
        <v>69687</v>
      </c>
      <c r="M39" s="85">
        <f t="shared" si="3"/>
        <v>4878090</v>
      </c>
      <c r="O39" s="464"/>
      <c r="P39" s="465"/>
    </row>
    <row r="40" spans="2:16" ht="18" customHeight="1" x14ac:dyDescent="0.3">
      <c r="B40" s="78" t="s">
        <v>7</v>
      </c>
      <c r="C40" s="275">
        <f>+'CRISTO REY'!F$48</f>
        <v>0</v>
      </c>
      <c r="D40" s="273">
        <f>+'CRISTO REY'!J$48</f>
        <v>1560</v>
      </c>
      <c r="E40" s="277">
        <f>+'CRISTO REY'!K$48</f>
        <v>834</v>
      </c>
      <c r="F40" s="277">
        <f>+'CRISTO REY'!L$48</f>
        <v>96401</v>
      </c>
      <c r="G40" s="277">
        <f>+'CRISTO REY'!M$48</f>
        <v>1612</v>
      </c>
      <c r="H40" s="278">
        <f t="shared" si="0"/>
        <v>98847</v>
      </c>
      <c r="I40" s="283">
        <f>+'CRISTO REY'!O$48</f>
        <v>0</v>
      </c>
      <c r="J40" s="283">
        <f>+'CRISTO REY'!P$48</f>
        <v>0</v>
      </c>
      <c r="K40" s="288">
        <f t="shared" si="1"/>
        <v>98847</v>
      </c>
      <c r="L40" s="289">
        <f t="shared" si="2"/>
        <v>100407</v>
      </c>
      <c r="M40" s="85">
        <f t="shared" si="3"/>
        <v>7028490</v>
      </c>
      <c r="O40" s="464"/>
      <c r="P40" s="465"/>
    </row>
    <row r="41" spans="2:16" ht="18" customHeight="1" x14ac:dyDescent="0.3">
      <c r="B41" s="78" t="s">
        <v>108</v>
      </c>
      <c r="C41" s="275">
        <f>+'LAS CAOBAS'!F48</f>
        <v>0</v>
      </c>
      <c r="D41" s="273">
        <f>+'LAS CAOBAS'!J48</f>
        <v>4017</v>
      </c>
      <c r="E41" s="277">
        <f>+'LAS CAOBAS'!K48</f>
        <v>789</v>
      </c>
      <c r="F41" s="277">
        <f>+'LAS CAOBAS'!L48</f>
        <v>49704</v>
      </c>
      <c r="G41" s="277">
        <f>+'LAS CAOBAS'!M48</f>
        <v>0</v>
      </c>
      <c r="H41" s="278">
        <f t="shared" si="0"/>
        <v>50493</v>
      </c>
      <c r="I41" s="284">
        <f>+'LAS CAOBAS'!O48</f>
        <v>0</v>
      </c>
      <c r="J41" s="284">
        <f>+'LAS CAOBAS'!P48</f>
        <v>0</v>
      </c>
      <c r="K41" s="288">
        <f t="shared" si="1"/>
        <v>50493</v>
      </c>
      <c r="L41" s="289">
        <f t="shared" si="2"/>
        <v>54510</v>
      </c>
      <c r="M41" s="85">
        <f t="shared" si="3"/>
        <v>3815700</v>
      </c>
      <c r="O41" s="464"/>
      <c r="P41" s="465"/>
    </row>
    <row r="42" spans="2:16" ht="18" customHeight="1" x14ac:dyDescent="0.3">
      <c r="B42" s="78" t="s">
        <v>14</v>
      </c>
      <c r="C42" s="275">
        <f>+'LOS ALCARRIZOS'!F$48</f>
        <v>0</v>
      </c>
      <c r="D42" s="273">
        <f>+'LOS ALCARRIZOS'!J$48</f>
        <v>0</v>
      </c>
      <c r="E42" s="277">
        <f>+'LOS ALCARRIZOS'!K$48</f>
        <v>1166</v>
      </c>
      <c r="F42" s="277">
        <f>+'LOS ALCARRIZOS'!L$48</f>
        <v>56395</v>
      </c>
      <c r="G42" s="277">
        <f>+'LOS ALCARRIZOS'!M$48</f>
        <v>0</v>
      </c>
      <c r="H42" s="278">
        <f>+E42+F42+G42</f>
        <v>57561</v>
      </c>
      <c r="I42" s="284">
        <f>+'LOS ALCARRIZOS'!O$48</f>
        <v>0</v>
      </c>
      <c r="J42" s="284">
        <f>+'LOS ALCARRIZOS'!P$48</f>
        <v>0</v>
      </c>
      <c r="K42" s="288">
        <f t="shared" si="1"/>
        <v>57561</v>
      </c>
      <c r="L42" s="289">
        <f t="shared" si="2"/>
        <v>57561</v>
      </c>
      <c r="M42" s="85">
        <f t="shared" si="3"/>
        <v>4029270</v>
      </c>
      <c r="O42" s="464"/>
      <c r="P42" s="465"/>
    </row>
    <row r="43" spans="2:16" ht="18" customHeight="1" x14ac:dyDescent="0.3">
      <c r="B43" s="78" t="s">
        <v>2</v>
      </c>
      <c r="C43" s="275">
        <f>+AZUA!F$48</f>
        <v>0</v>
      </c>
      <c r="D43" s="273">
        <f>+AZUA!J$48</f>
        <v>1518</v>
      </c>
      <c r="E43" s="277">
        <f>+AZUA!K$48</f>
        <v>544</v>
      </c>
      <c r="F43" s="277">
        <f>+AZUA!L$48</f>
        <v>32345</v>
      </c>
      <c r="G43" s="277">
        <f>+AZUA!M$48</f>
        <v>0</v>
      </c>
      <c r="H43" s="278">
        <f t="shared" ref="H43:H78" si="4">+E43+F43+G43</f>
        <v>32889</v>
      </c>
      <c r="I43" s="284">
        <f>+AZUA!O$48</f>
        <v>0</v>
      </c>
      <c r="J43" s="284">
        <f>+AZUA!P$48</f>
        <v>0</v>
      </c>
      <c r="K43" s="288">
        <f t="shared" si="1"/>
        <v>32889</v>
      </c>
      <c r="L43" s="289">
        <f t="shared" si="2"/>
        <v>34407</v>
      </c>
      <c r="M43" s="85">
        <f t="shared" si="3"/>
        <v>2408490</v>
      </c>
      <c r="O43" s="464"/>
      <c r="P43" s="465"/>
    </row>
    <row r="44" spans="2:16" ht="18" customHeight="1" x14ac:dyDescent="0.3">
      <c r="B44" s="78" t="s">
        <v>3</v>
      </c>
      <c r="C44" s="275">
        <f>+BARAHONA!F$48</f>
        <v>0</v>
      </c>
      <c r="D44" s="273">
        <f>+BARAHONA!J$48</f>
        <v>11250</v>
      </c>
      <c r="E44" s="277">
        <f>+BARAHONA!K$48</f>
        <v>1760</v>
      </c>
      <c r="F44" s="277">
        <f>+BARAHONA!L$48</f>
        <v>57952</v>
      </c>
      <c r="G44" s="277">
        <f>+BARAHONA!M$48</f>
        <v>0</v>
      </c>
      <c r="H44" s="278">
        <f t="shared" si="4"/>
        <v>59712</v>
      </c>
      <c r="I44" s="284">
        <f>+BARAHONA!O$48</f>
        <v>0</v>
      </c>
      <c r="J44" s="284">
        <f>+BARAHONA!P$48</f>
        <v>0</v>
      </c>
      <c r="K44" s="288">
        <f t="shared" si="1"/>
        <v>59712</v>
      </c>
      <c r="L44" s="289">
        <f t="shared" si="2"/>
        <v>70962</v>
      </c>
      <c r="M44" s="85">
        <f t="shared" si="3"/>
        <v>4967340</v>
      </c>
      <c r="O44" s="464"/>
      <c r="P44" s="465"/>
    </row>
    <row r="45" spans="2:16" ht="18" customHeight="1" x14ac:dyDescent="0.3">
      <c r="B45" s="78" t="s">
        <v>43</v>
      </c>
      <c r="C45" s="275">
        <f>+'BATEY 6'!F$48</f>
        <v>0</v>
      </c>
      <c r="D45" s="273">
        <f>+'BATEY 6'!J$48</f>
        <v>0</v>
      </c>
      <c r="E45" s="277">
        <f>+'BATEY 6'!K$48</f>
        <v>378</v>
      </c>
      <c r="F45" s="277">
        <f>+'BATEY 6'!L$48</f>
        <v>24025</v>
      </c>
      <c r="G45" s="277">
        <f>+'BATEY 6'!M$48</f>
        <v>0</v>
      </c>
      <c r="H45" s="278">
        <f t="shared" si="4"/>
        <v>24403</v>
      </c>
      <c r="I45" s="284">
        <f>+'BATEY 6'!O$48</f>
        <v>0</v>
      </c>
      <c r="J45" s="284">
        <f>+'BATEY 6'!P$48</f>
        <v>0</v>
      </c>
      <c r="K45" s="288">
        <f t="shared" si="1"/>
        <v>24403</v>
      </c>
      <c r="L45" s="289">
        <f t="shared" si="2"/>
        <v>24403</v>
      </c>
      <c r="M45" s="85">
        <f t="shared" si="3"/>
        <v>1708210</v>
      </c>
      <c r="O45" s="464"/>
      <c r="P45" s="465"/>
    </row>
    <row r="46" spans="2:16" ht="18" customHeight="1" x14ac:dyDescent="0.3">
      <c r="B46" s="78" t="s">
        <v>5</v>
      </c>
      <c r="C46" s="275">
        <f>+BAYAGUANA!F$48</f>
        <v>0</v>
      </c>
      <c r="D46" s="273">
        <f>+BAYAGUANA!J$48</f>
        <v>0</v>
      </c>
      <c r="E46" s="277">
        <f>+BAYAGUANA!K$48</f>
        <v>506</v>
      </c>
      <c r="F46" s="277">
        <f>+BAYAGUANA!L$48</f>
        <v>25154</v>
      </c>
      <c r="G46" s="277">
        <f>+BAYAGUANA!M$48</f>
        <v>0</v>
      </c>
      <c r="H46" s="278">
        <f t="shared" si="4"/>
        <v>25660</v>
      </c>
      <c r="I46" s="284">
        <f>+BAYAGUANA!O$48</f>
        <v>0</v>
      </c>
      <c r="J46" s="284">
        <f>+BAYAGUANA!P$48</f>
        <v>0</v>
      </c>
      <c r="K46" s="288">
        <f t="shared" si="1"/>
        <v>25660</v>
      </c>
      <c r="L46" s="289">
        <f t="shared" si="2"/>
        <v>25660</v>
      </c>
      <c r="M46" s="85">
        <f t="shared" si="3"/>
        <v>1796200</v>
      </c>
      <c r="O46" s="464"/>
      <c r="P46" s="465"/>
    </row>
    <row r="47" spans="2:16" ht="18" customHeight="1" x14ac:dyDescent="0.3">
      <c r="B47" s="78" t="s">
        <v>40</v>
      </c>
      <c r="C47" s="275">
        <f>+'BOCA CACHON'!F$48</f>
        <v>0</v>
      </c>
      <c r="D47" s="273">
        <f>+'BOCA CACHON'!J$48</f>
        <v>0</v>
      </c>
      <c r="E47" s="277">
        <f>+'BOCA CACHON'!K$48</f>
        <v>330</v>
      </c>
      <c r="F47" s="277">
        <f>+'BOCA CACHON'!L$48</f>
        <v>24613</v>
      </c>
      <c r="G47" s="277">
        <f>+'BOCA CACHON'!M$48</f>
        <v>0</v>
      </c>
      <c r="H47" s="278">
        <f t="shared" si="4"/>
        <v>24943</v>
      </c>
      <c r="I47" s="284">
        <f>+'BOCA CACHON'!O$48</f>
        <v>0</v>
      </c>
      <c r="J47" s="284">
        <f>+'BOCA CACHON'!P$48</f>
        <v>0</v>
      </c>
      <c r="K47" s="288">
        <f t="shared" si="1"/>
        <v>24943</v>
      </c>
      <c r="L47" s="289">
        <f t="shared" si="2"/>
        <v>24943</v>
      </c>
      <c r="M47" s="85">
        <f t="shared" si="3"/>
        <v>1746010</v>
      </c>
      <c r="O47" s="464"/>
      <c r="P47" s="465"/>
    </row>
    <row r="48" spans="2:16" ht="18" customHeight="1" x14ac:dyDescent="0.3">
      <c r="B48" s="78" t="s">
        <v>109</v>
      </c>
      <c r="C48" s="275">
        <f>+BOYA!F$48</f>
        <v>0</v>
      </c>
      <c r="D48" s="273">
        <f>+BOYA!J$48</f>
        <v>0</v>
      </c>
      <c r="E48" s="277">
        <f>+BOYA!K$48</f>
        <v>362</v>
      </c>
      <c r="F48" s="277">
        <f>+BOYA!L$48</f>
        <v>19968</v>
      </c>
      <c r="G48" s="277">
        <f>+BOYA!M$48</f>
        <v>0</v>
      </c>
      <c r="H48" s="278">
        <f t="shared" si="4"/>
        <v>20330</v>
      </c>
      <c r="I48" s="284">
        <f>+BOYA!O$48</f>
        <v>0</v>
      </c>
      <c r="J48" s="284">
        <f>+BOYA!P$48</f>
        <v>0</v>
      </c>
      <c r="K48" s="288">
        <f t="shared" si="1"/>
        <v>20330</v>
      </c>
      <c r="L48" s="289">
        <f t="shared" si="2"/>
        <v>20330</v>
      </c>
      <c r="M48" s="85">
        <f t="shared" si="3"/>
        <v>1423100</v>
      </c>
      <c r="O48" s="464"/>
      <c r="P48" s="465"/>
    </row>
    <row r="49" spans="2:16" ht="18" customHeight="1" x14ac:dyDescent="0.3">
      <c r="B49" s="78" t="s">
        <v>8</v>
      </c>
      <c r="C49" s="275">
        <f>+CONSTANZA!F$48</f>
        <v>0</v>
      </c>
      <c r="D49" s="273">
        <f>+CONSTANZA!J$48</f>
        <v>0</v>
      </c>
      <c r="E49" s="277">
        <f>+CONSTANZA!K$48</f>
        <v>345</v>
      </c>
      <c r="F49" s="277">
        <f>+CONSTANZA!L$48</f>
        <v>23468</v>
      </c>
      <c r="G49" s="277">
        <f>+CONSTANZA!M$48</f>
        <v>0</v>
      </c>
      <c r="H49" s="278">
        <f t="shared" si="4"/>
        <v>23813</v>
      </c>
      <c r="I49" s="284">
        <f>+CONSTANZA!O$48</f>
        <v>0</v>
      </c>
      <c r="J49" s="284">
        <f>+CONSTANZA!P$48</f>
        <v>0</v>
      </c>
      <c r="K49" s="288">
        <f t="shared" si="1"/>
        <v>23813</v>
      </c>
      <c r="L49" s="289">
        <f t="shared" si="2"/>
        <v>23813</v>
      </c>
      <c r="M49" s="85">
        <f t="shared" si="3"/>
        <v>1666910</v>
      </c>
      <c r="O49" s="464"/>
      <c r="P49" s="465"/>
    </row>
    <row r="50" spans="2:16" ht="18" customHeight="1" x14ac:dyDescent="0.3">
      <c r="B50" s="78" t="s">
        <v>42</v>
      </c>
      <c r="C50" s="275">
        <f>+CRISTOBAL!F$48</f>
        <v>0</v>
      </c>
      <c r="D50" s="273">
        <f>+CRISTOBAL!J$48</f>
        <v>0</v>
      </c>
      <c r="E50" s="277">
        <f>+CRISTOBAL!K$48</f>
        <v>376</v>
      </c>
      <c r="F50" s="277">
        <f>+CRISTOBAL!L$48</f>
        <v>13390</v>
      </c>
      <c r="G50" s="277">
        <f>+CRISTOBAL!M$48</f>
        <v>0</v>
      </c>
      <c r="H50" s="278">
        <f t="shared" si="4"/>
        <v>13766</v>
      </c>
      <c r="I50" s="284">
        <f>+CRISTOBAL!O$48</f>
        <v>0</v>
      </c>
      <c r="J50" s="284">
        <f>+CRISTOBAL!P$48</f>
        <v>0</v>
      </c>
      <c r="K50" s="288">
        <f t="shared" si="1"/>
        <v>13766</v>
      </c>
      <c r="L50" s="289">
        <f t="shared" si="2"/>
        <v>13766</v>
      </c>
      <c r="M50" s="85">
        <f t="shared" si="3"/>
        <v>963620</v>
      </c>
      <c r="O50" s="464"/>
      <c r="P50" s="465"/>
    </row>
    <row r="51" spans="2:16" ht="18" customHeight="1" x14ac:dyDescent="0.3">
      <c r="B51" s="78" t="s">
        <v>110</v>
      </c>
      <c r="C51" s="275">
        <f>+MANZANILLO!F$48</f>
        <v>0</v>
      </c>
      <c r="D51" s="273">
        <f>+MANZANILLO!J$48</f>
        <v>0</v>
      </c>
      <c r="E51" s="277">
        <f>+MANZANILLO!K$48</f>
        <v>792</v>
      </c>
      <c r="F51" s="277">
        <f>+MANZANILLO!L$48</f>
        <v>31262</v>
      </c>
      <c r="G51" s="277">
        <f>+MANZANILLO!M$48</f>
        <v>400</v>
      </c>
      <c r="H51" s="278">
        <f t="shared" si="4"/>
        <v>32454</v>
      </c>
      <c r="I51" s="284">
        <f>+MANZANILLO!O$48</f>
        <v>0</v>
      </c>
      <c r="J51" s="284">
        <f>+MANZANILLO!P$48</f>
        <v>0</v>
      </c>
      <c r="K51" s="288">
        <f t="shared" si="1"/>
        <v>32454</v>
      </c>
      <c r="L51" s="289">
        <f t="shared" si="2"/>
        <v>32454</v>
      </c>
      <c r="M51" s="85">
        <f t="shared" si="3"/>
        <v>2271780</v>
      </c>
      <c r="O51" s="464"/>
      <c r="P51" s="465"/>
    </row>
    <row r="52" spans="2:16" ht="18" customHeight="1" x14ac:dyDescent="0.3">
      <c r="B52" s="78" t="s">
        <v>4</v>
      </c>
      <c r="C52" s="275">
        <f>+DAJABON!F$48</f>
        <v>0</v>
      </c>
      <c r="D52" s="273">
        <f>+DAJABON!J$48</f>
        <v>0</v>
      </c>
      <c r="E52" s="277">
        <f>+DAJABON!K$48</f>
        <v>960</v>
      </c>
      <c r="F52" s="277">
        <f>+DAJABON!L$48</f>
        <v>28732</v>
      </c>
      <c r="G52" s="277">
        <f>+DAJABON!M$48</f>
        <v>0</v>
      </c>
      <c r="H52" s="278">
        <f t="shared" si="4"/>
        <v>29692</v>
      </c>
      <c r="I52" s="284">
        <f>+DAJABON!O$48</f>
        <v>0</v>
      </c>
      <c r="J52" s="284">
        <f>+DAJABON!P$48</f>
        <v>0</v>
      </c>
      <c r="K52" s="288">
        <f t="shared" si="1"/>
        <v>29692</v>
      </c>
      <c r="L52" s="289">
        <f t="shared" si="2"/>
        <v>29692</v>
      </c>
      <c r="M52" s="85">
        <f t="shared" si="3"/>
        <v>2078440</v>
      </c>
      <c r="O52" s="464"/>
      <c r="P52" s="465"/>
    </row>
    <row r="53" spans="2:16" ht="18" customHeight="1" x14ac:dyDescent="0.3">
      <c r="B53" s="78" t="s">
        <v>6</v>
      </c>
      <c r="C53" s="275">
        <f>+'EL SEYBO'!F$48</f>
        <v>0</v>
      </c>
      <c r="D53" s="273">
        <f>+'EL SEYBO'!J$48</f>
        <v>0</v>
      </c>
      <c r="E53" s="277">
        <f>+'EL SEYBO'!K$48</f>
        <v>333</v>
      </c>
      <c r="F53" s="277">
        <f>+'EL SEYBO'!L$48</f>
        <v>17931</v>
      </c>
      <c r="G53" s="277">
        <f>+'EL SEYBO'!M$48</f>
        <v>9559</v>
      </c>
      <c r="H53" s="278">
        <f t="shared" si="4"/>
        <v>27823</v>
      </c>
      <c r="I53" s="284">
        <f>+'EL SEYBO'!O$48</f>
        <v>0</v>
      </c>
      <c r="J53" s="284">
        <f>+'EL SEYBO'!P$48</f>
        <v>0</v>
      </c>
      <c r="K53" s="288">
        <f t="shared" si="1"/>
        <v>27823</v>
      </c>
      <c r="L53" s="289">
        <f t="shared" si="2"/>
        <v>27823</v>
      </c>
      <c r="M53" s="85">
        <f t="shared" si="3"/>
        <v>1947610</v>
      </c>
      <c r="O53" s="464"/>
      <c r="P53" s="465"/>
    </row>
    <row r="54" spans="2:16" ht="18" customHeight="1" x14ac:dyDescent="0.3">
      <c r="B54" s="78" t="s">
        <v>10</v>
      </c>
      <c r="C54" s="275">
        <f>+'ELIAS PIÑA'!F$48</f>
        <v>0</v>
      </c>
      <c r="D54" s="273">
        <f>+'ELIAS PIÑA'!J$48</f>
        <v>0</v>
      </c>
      <c r="E54" s="277">
        <f>+'ELIAS PIÑA'!K$48</f>
        <v>1344</v>
      </c>
      <c r="F54" s="277">
        <f>+'ELIAS PIÑA'!L$48</f>
        <v>29070</v>
      </c>
      <c r="G54" s="277">
        <f>+'ELIAS PIÑA'!M$48</f>
        <v>0</v>
      </c>
      <c r="H54" s="278">
        <f t="shared" si="4"/>
        <v>30414</v>
      </c>
      <c r="I54" s="284">
        <f>+'ELIAS PIÑA'!O$48</f>
        <v>0</v>
      </c>
      <c r="J54" s="284">
        <f>+'ELIAS PIÑA'!P$48</f>
        <v>0</v>
      </c>
      <c r="K54" s="288">
        <f t="shared" si="1"/>
        <v>30414</v>
      </c>
      <c r="L54" s="289">
        <f t="shared" si="2"/>
        <v>30414</v>
      </c>
      <c r="M54" s="85">
        <f t="shared" si="3"/>
        <v>2128980</v>
      </c>
      <c r="O54" s="464"/>
      <c r="P54" s="465"/>
    </row>
    <row r="55" spans="2:16" ht="18" customHeight="1" x14ac:dyDescent="0.3">
      <c r="B55" s="78" t="s">
        <v>9</v>
      </c>
      <c r="C55" s="275">
        <f>+'LA ROMANA'!F$48</f>
        <v>0</v>
      </c>
      <c r="D55" s="273">
        <f>+'LA ROMANA'!J$48</f>
        <v>0</v>
      </c>
      <c r="E55" s="277">
        <f>+'LA ROMANA'!K$48</f>
        <v>316</v>
      </c>
      <c r="F55" s="277">
        <f>+'LA ROMANA'!L$48</f>
        <v>21097</v>
      </c>
      <c r="G55" s="277">
        <f>+'LA ROMANA'!M$48</f>
        <v>0</v>
      </c>
      <c r="H55" s="278">
        <f t="shared" si="4"/>
        <v>21413</v>
      </c>
      <c r="I55" s="284">
        <f>+'LA ROMANA'!O$48</f>
        <v>0</v>
      </c>
      <c r="J55" s="284">
        <f>+'LA ROMANA'!P$48</f>
        <v>0</v>
      </c>
      <c r="K55" s="288">
        <f t="shared" si="1"/>
        <v>21413</v>
      </c>
      <c r="L55" s="289">
        <f t="shared" si="2"/>
        <v>21413</v>
      </c>
      <c r="M55" s="85">
        <f t="shared" si="3"/>
        <v>1498910</v>
      </c>
      <c r="O55" s="464"/>
      <c r="P55" s="465"/>
    </row>
    <row r="56" spans="2:16" ht="18" customHeight="1" x14ac:dyDescent="0.3">
      <c r="B56" s="78" t="s">
        <v>12</v>
      </c>
      <c r="C56" s="275">
        <f>+'LA VEGA'!F$48</f>
        <v>0</v>
      </c>
      <c r="D56" s="273">
        <f>+'LA VEGA'!J$48</f>
        <v>0</v>
      </c>
      <c r="E56" s="277">
        <f>+'LA VEGA'!K$48</f>
        <v>642</v>
      </c>
      <c r="F56" s="277">
        <f>+'LA VEGA'!L$48</f>
        <v>26963</v>
      </c>
      <c r="G56" s="277">
        <f>+'LA VEGA'!M$48</f>
        <v>0</v>
      </c>
      <c r="H56" s="278">
        <f t="shared" si="4"/>
        <v>27605</v>
      </c>
      <c r="I56" s="284">
        <f>+'LA VEGA'!O$48</f>
        <v>0</v>
      </c>
      <c r="J56" s="284">
        <f>+'LA VEGA'!P$48</f>
        <v>0</v>
      </c>
      <c r="K56" s="288">
        <f t="shared" si="1"/>
        <v>27605</v>
      </c>
      <c r="L56" s="289">
        <f t="shared" si="2"/>
        <v>27605</v>
      </c>
      <c r="M56" s="85">
        <f t="shared" si="3"/>
        <v>1932350</v>
      </c>
      <c r="O56" s="464"/>
      <c r="P56" s="465"/>
    </row>
    <row r="57" spans="2:16" ht="18" customHeight="1" x14ac:dyDescent="0.3">
      <c r="B57" s="78" t="s">
        <v>111</v>
      </c>
      <c r="C57" s="275">
        <f>+PLATANITOS!F$48</f>
        <v>0</v>
      </c>
      <c r="D57" s="273">
        <f>+PLATANITOS!J$48</f>
        <v>0</v>
      </c>
      <c r="E57" s="277">
        <f>+PLATANITOS!K$48</f>
        <v>517</v>
      </c>
      <c r="F57" s="277">
        <f>+PLATANITOS!L$48</f>
        <v>28330</v>
      </c>
      <c r="G57" s="277">
        <f>+PLATANITOS!M$48</f>
        <v>0</v>
      </c>
      <c r="H57" s="278">
        <f t="shared" si="4"/>
        <v>28847</v>
      </c>
      <c r="I57" s="284">
        <f>+PLATANITOS!O$48</f>
        <v>0</v>
      </c>
      <c r="J57" s="284">
        <f>+PLATANITOS!P$48</f>
        <v>0</v>
      </c>
      <c r="K57" s="288">
        <f t="shared" si="1"/>
        <v>28847</v>
      </c>
      <c r="L57" s="289">
        <f t="shared" si="2"/>
        <v>28847</v>
      </c>
      <c r="M57" s="85">
        <f t="shared" si="3"/>
        <v>2019290</v>
      </c>
      <c r="O57" s="464"/>
      <c r="P57" s="465"/>
    </row>
    <row r="58" spans="2:16" ht="18" customHeight="1" x14ac:dyDescent="0.3">
      <c r="B58" s="78" t="s">
        <v>112</v>
      </c>
      <c r="C58" s="275">
        <f>+MAO!F$48</f>
        <v>0</v>
      </c>
      <c r="D58" s="273">
        <f>+MAO!J$48</f>
        <v>0</v>
      </c>
      <c r="E58" s="277">
        <f>+MAO!K$48</f>
        <v>616</v>
      </c>
      <c r="F58" s="277">
        <f>+MAO!L$48</f>
        <v>24044</v>
      </c>
      <c r="G58" s="277">
        <f>+MAO!M$48</f>
        <v>370</v>
      </c>
      <c r="H58" s="278">
        <f t="shared" si="4"/>
        <v>25030</v>
      </c>
      <c r="I58" s="284">
        <f>+MAO!O$48</f>
        <v>0</v>
      </c>
      <c r="J58" s="284">
        <f>+MAO!P$48</f>
        <v>0</v>
      </c>
      <c r="K58" s="288">
        <f t="shared" si="1"/>
        <v>25030</v>
      </c>
      <c r="L58" s="289">
        <f t="shared" si="2"/>
        <v>25030</v>
      </c>
      <c r="M58" s="85">
        <f t="shared" si="3"/>
        <v>1752100</v>
      </c>
      <c r="O58" s="464"/>
      <c r="P58" s="465"/>
    </row>
    <row r="59" spans="2:16" ht="18" customHeight="1" x14ac:dyDescent="0.3">
      <c r="B59" s="78" t="s">
        <v>15</v>
      </c>
      <c r="C59" s="275">
        <f>+'MONTE PLATA'!F$48</f>
        <v>0</v>
      </c>
      <c r="D59" s="273">
        <f>+'MONTE PLATA'!J$48</f>
        <v>0</v>
      </c>
      <c r="E59" s="277">
        <f>+'MONTE PLATA'!K$48</f>
        <v>528</v>
      </c>
      <c r="F59" s="277">
        <f>+'MONTE PLATA'!L$48</f>
        <v>15445</v>
      </c>
      <c r="G59" s="277">
        <f>+'MONTE PLATA'!M$48</f>
        <v>0</v>
      </c>
      <c r="H59" s="278">
        <f t="shared" si="4"/>
        <v>15973</v>
      </c>
      <c r="I59" s="284">
        <f>+'MONTE PLATA'!O$48</f>
        <v>0</v>
      </c>
      <c r="J59" s="284">
        <f>+'MONTE PLATA'!P$48</f>
        <v>0</v>
      </c>
      <c r="K59" s="288">
        <f t="shared" si="1"/>
        <v>15973</v>
      </c>
      <c r="L59" s="289">
        <f t="shared" si="2"/>
        <v>15973</v>
      </c>
      <c r="M59" s="85">
        <f t="shared" si="3"/>
        <v>1118110</v>
      </c>
      <c r="O59" s="464"/>
      <c r="P59" s="465"/>
    </row>
    <row r="60" spans="2:16" ht="18" customHeight="1" x14ac:dyDescent="0.3">
      <c r="B60" s="78" t="s">
        <v>16</v>
      </c>
      <c r="C60" s="275">
        <f>+MONTECRISTI!F$48</f>
        <v>0</v>
      </c>
      <c r="D60" s="273">
        <f>+MONTECRISTI!J$48</f>
        <v>0</v>
      </c>
      <c r="E60" s="277">
        <f>+MONTECRISTI!K$48</f>
        <v>179</v>
      </c>
      <c r="F60" s="277">
        <f>+MONTECRISTI!L$48</f>
        <v>20038</v>
      </c>
      <c r="G60" s="277">
        <f>+MONTECRISTI!M$48</f>
        <v>0</v>
      </c>
      <c r="H60" s="278">
        <f t="shared" si="4"/>
        <v>20217</v>
      </c>
      <c r="I60" s="284">
        <f>+MONTECRISTI!O$48</f>
        <v>0</v>
      </c>
      <c r="J60" s="284">
        <f>+MONTECRISTI!P$48</f>
        <v>0</v>
      </c>
      <c r="K60" s="288">
        <f t="shared" si="1"/>
        <v>20217</v>
      </c>
      <c r="L60" s="289">
        <f t="shared" si="2"/>
        <v>20217</v>
      </c>
      <c r="M60" s="85">
        <f t="shared" si="3"/>
        <v>1415190</v>
      </c>
      <c r="O60" s="464"/>
      <c r="P60" s="465"/>
    </row>
    <row r="61" spans="2:16" ht="18" customHeight="1" x14ac:dyDescent="0.3">
      <c r="B61" s="78" t="s">
        <v>17</v>
      </c>
      <c r="C61" s="275">
        <f>+NAGUA!F$48</f>
        <v>0</v>
      </c>
      <c r="D61" s="273">
        <f>+NAGUA!J$48</f>
        <v>0</v>
      </c>
      <c r="E61" s="277">
        <f>+NAGUA!K$48</f>
        <v>736</v>
      </c>
      <c r="F61" s="277">
        <f>+NAGUA!L$48</f>
        <v>36599</v>
      </c>
      <c r="G61" s="277">
        <f>+NAGUA!M$48</f>
        <v>0</v>
      </c>
      <c r="H61" s="278">
        <f t="shared" si="4"/>
        <v>37335</v>
      </c>
      <c r="I61" s="284">
        <f>+NAGUA!O$48</f>
        <v>0</v>
      </c>
      <c r="J61" s="284">
        <f>+NAGUA!P$48</f>
        <v>0</v>
      </c>
      <c r="K61" s="288">
        <f t="shared" si="1"/>
        <v>37335</v>
      </c>
      <c r="L61" s="289">
        <f t="shared" si="2"/>
        <v>37335</v>
      </c>
      <c r="M61" s="85">
        <f t="shared" si="3"/>
        <v>2613450</v>
      </c>
      <c r="O61" s="464"/>
      <c r="P61" s="465"/>
    </row>
    <row r="62" spans="2:16" ht="18" customHeight="1" x14ac:dyDescent="0.3">
      <c r="B62" s="78" t="s">
        <v>18</v>
      </c>
      <c r="C62" s="275">
        <f>+NAVARRETE!F$48</f>
        <v>0</v>
      </c>
      <c r="D62" s="273">
        <f>+NAVARRETE!J$48</f>
        <v>0</v>
      </c>
      <c r="E62" s="277">
        <f>+NAVARRETE!K$48</f>
        <v>748</v>
      </c>
      <c r="F62" s="277">
        <f>+NAVARRETE!L$48</f>
        <v>17955</v>
      </c>
      <c r="G62" s="277">
        <f>+NAVARRETE!M$48</f>
        <v>0</v>
      </c>
      <c r="H62" s="278">
        <f t="shared" si="4"/>
        <v>18703</v>
      </c>
      <c r="I62" s="284">
        <f>+NAVARRETE!O$48</f>
        <v>0</v>
      </c>
      <c r="J62" s="284">
        <f>+NAVARRETE!P$48</f>
        <v>0</v>
      </c>
      <c r="K62" s="288">
        <f t="shared" si="1"/>
        <v>18703</v>
      </c>
      <c r="L62" s="289">
        <f t="shared" si="2"/>
        <v>18703</v>
      </c>
      <c r="M62" s="85">
        <f t="shared" si="3"/>
        <v>1309210</v>
      </c>
      <c r="O62" s="464"/>
      <c r="P62" s="465"/>
    </row>
    <row r="63" spans="2:16" ht="18" customHeight="1" x14ac:dyDescent="0.3">
      <c r="B63" s="78" t="s">
        <v>19</v>
      </c>
      <c r="C63" s="275">
        <f>+NEYBA!F$48</f>
        <v>0</v>
      </c>
      <c r="D63" s="273">
        <f>+NEYBA!J$48</f>
        <v>0</v>
      </c>
      <c r="E63" s="277">
        <f>+NEYBA!K$48</f>
        <v>551</v>
      </c>
      <c r="F63" s="277">
        <f>+NEYBA!L$48</f>
        <v>18402</v>
      </c>
      <c r="G63" s="277">
        <f>+NEYBA!M$48</f>
        <v>0</v>
      </c>
      <c r="H63" s="278">
        <f t="shared" si="4"/>
        <v>18953</v>
      </c>
      <c r="I63" s="284">
        <f>+NEYBA!O$48</f>
        <v>0</v>
      </c>
      <c r="J63" s="284">
        <f>+NEYBA!P$48</f>
        <v>0</v>
      </c>
      <c r="K63" s="288">
        <f t="shared" si="1"/>
        <v>18953</v>
      </c>
      <c r="L63" s="289">
        <f t="shared" si="2"/>
        <v>18953</v>
      </c>
      <c r="M63" s="85">
        <f t="shared" si="3"/>
        <v>1326710</v>
      </c>
      <c r="O63" s="464"/>
      <c r="P63" s="465"/>
    </row>
    <row r="64" spans="2:16" ht="18" customHeight="1" x14ac:dyDescent="0.3">
      <c r="B64" s="78" t="s">
        <v>20</v>
      </c>
      <c r="C64" s="275">
        <f>+PEDERNALES!F$48</f>
        <v>0</v>
      </c>
      <c r="D64" s="273">
        <f>+PEDERNALES!J$48</f>
        <v>0</v>
      </c>
      <c r="E64" s="277">
        <f>+PEDERNALES!K$48</f>
        <v>391</v>
      </c>
      <c r="F64" s="277">
        <f>+PEDERNALES!L$48</f>
        <v>13571</v>
      </c>
      <c r="G64" s="277">
        <f>+PEDERNALES!M$48</f>
        <v>0</v>
      </c>
      <c r="H64" s="278">
        <f t="shared" si="4"/>
        <v>13962</v>
      </c>
      <c r="I64" s="284">
        <f>+PEDERNALES!O$48</f>
        <v>0</v>
      </c>
      <c r="J64" s="284">
        <f>+PEDERNALES!P$48</f>
        <v>0</v>
      </c>
      <c r="K64" s="288">
        <f t="shared" si="1"/>
        <v>13962</v>
      </c>
      <c r="L64" s="289">
        <f t="shared" si="2"/>
        <v>13962</v>
      </c>
      <c r="M64" s="85">
        <f t="shared" si="3"/>
        <v>977340</v>
      </c>
      <c r="O64" s="464"/>
      <c r="P64" s="465"/>
    </row>
    <row r="65" spans="2:16" ht="18" customHeight="1" x14ac:dyDescent="0.3">
      <c r="B65" s="78" t="s">
        <v>113</v>
      </c>
      <c r="C65" s="275">
        <f>+PEKIN!F$48</f>
        <v>0</v>
      </c>
      <c r="D65" s="273">
        <f>+PEKIN!J$48</f>
        <v>0</v>
      </c>
      <c r="E65" s="277">
        <f>+PEKIN!K$48</f>
        <v>503</v>
      </c>
      <c r="F65" s="277">
        <f>+PEKIN!L$48</f>
        <v>32933</v>
      </c>
      <c r="G65" s="277">
        <f>+PEKIN!M$48</f>
        <v>0</v>
      </c>
      <c r="H65" s="278">
        <f t="shared" si="4"/>
        <v>33436</v>
      </c>
      <c r="I65" s="284">
        <f>+PEKIN!O$48</f>
        <v>0</v>
      </c>
      <c r="J65" s="284">
        <f>+PEKIN!P$48</f>
        <v>0</v>
      </c>
      <c r="K65" s="288">
        <f t="shared" si="1"/>
        <v>33436</v>
      </c>
      <c r="L65" s="289">
        <f t="shared" si="2"/>
        <v>33436</v>
      </c>
      <c r="M65" s="85">
        <f t="shared" si="3"/>
        <v>2340520</v>
      </c>
      <c r="O65" s="464"/>
      <c r="P65" s="465"/>
    </row>
    <row r="66" spans="2:16" ht="18" customHeight="1" x14ac:dyDescent="0.3">
      <c r="B66" s="78" t="s">
        <v>21</v>
      </c>
      <c r="C66" s="275">
        <f>+'PUERTO PLATA'!F$48</f>
        <v>0</v>
      </c>
      <c r="D66" s="273">
        <f>+'PUERTO PLATA'!J$48</f>
        <v>0</v>
      </c>
      <c r="E66" s="277">
        <f>+'PUERTO PLATA'!K$48</f>
        <v>754</v>
      </c>
      <c r="F66" s="277">
        <f>+'PUERTO PLATA'!L$48</f>
        <v>13141</v>
      </c>
      <c r="G66" s="277">
        <f>+'PUERTO PLATA'!M$48</f>
        <v>0</v>
      </c>
      <c r="H66" s="278">
        <f t="shared" si="4"/>
        <v>13895</v>
      </c>
      <c r="I66" s="284">
        <f>+'PUERTO PLATA'!O$48</f>
        <v>0</v>
      </c>
      <c r="J66" s="284">
        <f>+'PUERTO PLATA'!P$48</f>
        <v>0</v>
      </c>
      <c r="K66" s="288">
        <f t="shared" si="1"/>
        <v>13895</v>
      </c>
      <c r="L66" s="289">
        <f t="shared" si="2"/>
        <v>13895</v>
      </c>
      <c r="M66" s="85">
        <f t="shared" si="3"/>
        <v>972650</v>
      </c>
      <c r="O66" s="464"/>
      <c r="P66" s="465"/>
    </row>
    <row r="67" spans="2:16" ht="18" customHeight="1" x14ac:dyDescent="0.3">
      <c r="B67" s="78" t="s">
        <v>22</v>
      </c>
      <c r="C67" s="275">
        <f>+QUISQUEYA!F$48</f>
        <v>0</v>
      </c>
      <c r="D67" s="273">
        <f>+QUISQUEYA!J$48</f>
        <v>0</v>
      </c>
      <c r="E67" s="277">
        <f>+QUISQUEYA!K$48</f>
        <v>312</v>
      </c>
      <c r="F67" s="277">
        <f>+QUISQUEYA!L$48</f>
        <v>20380</v>
      </c>
      <c r="G67" s="277">
        <f>+QUISQUEYA!M$48</f>
        <v>0</v>
      </c>
      <c r="H67" s="278">
        <f t="shared" si="4"/>
        <v>20692</v>
      </c>
      <c r="I67" s="284">
        <f>+QUISQUEYA!O$48</f>
        <v>0</v>
      </c>
      <c r="J67" s="284">
        <f>+QUISQUEYA!P$48</f>
        <v>0</v>
      </c>
      <c r="K67" s="288">
        <f t="shared" si="1"/>
        <v>20692</v>
      </c>
      <c r="L67" s="289">
        <f t="shared" si="2"/>
        <v>20692</v>
      </c>
      <c r="M67" s="85">
        <f t="shared" si="3"/>
        <v>1448440</v>
      </c>
      <c r="O67" s="464"/>
      <c r="P67" s="465"/>
    </row>
    <row r="68" spans="2:16" ht="18" customHeight="1" x14ac:dyDescent="0.3">
      <c r="B68" s="78" t="s">
        <v>24</v>
      </c>
      <c r="C68" s="275">
        <f>+SAMANA!F$48</f>
        <v>0</v>
      </c>
      <c r="D68" s="273">
        <f>+SAMANA!J$48</f>
        <v>0</v>
      </c>
      <c r="E68" s="277">
        <f>+SAMANA!K$48</f>
        <v>674</v>
      </c>
      <c r="F68" s="277">
        <f>+SAMANA!L$48</f>
        <v>15035</v>
      </c>
      <c r="G68" s="277">
        <f>+SAMANA!M$48</f>
        <v>0</v>
      </c>
      <c r="H68" s="278">
        <f t="shared" si="4"/>
        <v>15709</v>
      </c>
      <c r="I68" s="284">
        <f>+SAMANA!O$48</f>
        <v>0</v>
      </c>
      <c r="J68" s="284">
        <f>+SAMANA!P$48</f>
        <v>0</v>
      </c>
      <c r="K68" s="288">
        <f t="shared" si="1"/>
        <v>15709</v>
      </c>
      <c r="L68" s="289">
        <f t="shared" si="2"/>
        <v>15709</v>
      </c>
      <c r="M68" s="85">
        <f t="shared" si="3"/>
        <v>1099630</v>
      </c>
      <c r="O68" s="464"/>
      <c r="P68" s="465"/>
    </row>
    <row r="69" spans="2:16" ht="18" customHeight="1" x14ac:dyDescent="0.3">
      <c r="B69" s="78" t="s">
        <v>25</v>
      </c>
      <c r="C69" s="275">
        <f>+'SAN CRISTOBAL'!F$48</f>
        <v>0</v>
      </c>
      <c r="D69" s="273">
        <f>+'SAN CRISTOBAL'!J$48</f>
        <v>0</v>
      </c>
      <c r="E69" s="277">
        <f>+'SAN CRISTOBAL'!K$48</f>
        <v>655</v>
      </c>
      <c r="F69" s="277">
        <f>+'SAN CRISTOBAL'!L$48</f>
        <v>54651</v>
      </c>
      <c r="G69" s="277">
        <f>+'SAN CRISTOBAL'!M$48</f>
        <v>0</v>
      </c>
      <c r="H69" s="278">
        <f t="shared" si="4"/>
        <v>55306</v>
      </c>
      <c r="I69" s="284">
        <f>+'SAN CRISTOBAL'!O$48</f>
        <v>0</v>
      </c>
      <c r="J69" s="284">
        <f>+'SAN CRISTOBAL'!P$48</f>
        <v>0</v>
      </c>
      <c r="K69" s="288">
        <f t="shared" si="1"/>
        <v>55306</v>
      </c>
      <c r="L69" s="289">
        <f t="shared" si="2"/>
        <v>55306</v>
      </c>
      <c r="M69" s="85">
        <f t="shared" si="3"/>
        <v>3871420</v>
      </c>
      <c r="O69" s="464"/>
      <c r="P69" s="465"/>
    </row>
    <row r="70" spans="2:16" ht="18" customHeight="1" x14ac:dyDescent="0.3">
      <c r="B70" s="78" t="s">
        <v>114</v>
      </c>
      <c r="C70" s="275">
        <f>+'SAN FCO'!F$48</f>
        <v>0</v>
      </c>
      <c r="D70" s="273">
        <f>+'SAN FCO'!J$48</f>
        <v>0</v>
      </c>
      <c r="E70" s="277">
        <f>+'SAN FCO'!K$48</f>
        <v>592</v>
      </c>
      <c r="F70" s="277">
        <f>+'SAN FCO'!L$48</f>
        <v>43303</v>
      </c>
      <c r="G70" s="277">
        <f>+'SAN FCO'!M$48</f>
        <v>0</v>
      </c>
      <c r="H70" s="278">
        <f t="shared" si="4"/>
        <v>43895</v>
      </c>
      <c r="I70" s="284">
        <f>+'SAN FCO'!O$48</f>
        <v>0</v>
      </c>
      <c r="J70" s="284">
        <f>+'SAN FCO'!P$48</f>
        <v>0</v>
      </c>
      <c r="K70" s="288">
        <f t="shared" si="1"/>
        <v>43895</v>
      </c>
      <c r="L70" s="289">
        <f t="shared" si="2"/>
        <v>43895</v>
      </c>
      <c r="M70" s="85">
        <f t="shared" si="3"/>
        <v>3072650</v>
      </c>
      <c r="O70" s="464"/>
      <c r="P70" s="465"/>
    </row>
    <row r="71" spans="2:16" ht="18" customHeight="1" x14ac:dyDescent="0.3">
      <c r="B71" s="78" t="s">
        <v>115</v>
      </c>
      <c r="C71" s="275">
        <f>+'SAN JUAN'!F$48</f>
        <v>0</v>
      </c>
      <c r="D71" s="273">
        <f>+'SAN JUAN'!J$48</f>
        <v>2552</v>
      </c>
      <c r="E71" s="277">
        <f>+'SAN JUAN'!K$48</f>
        <v>474</v>
      </c>
      <c r="F71" s="277">
        <f>+'SAN JUAN'!L$48</f>
        <v>34041</v>
      </c>
      <c r="G71" s="277">
        <f>+'SAN JUAN'!M$48</f>
        <v>0</v>
      </c>
      <c r="H71" s="278">
        <f t="shared" si="4"/>
        <v>34515</v>
      </c>
      <c r="I71" s="284">
        <f>+'SAN JUAN'!O$48</f>
        <v>0</v>
      </c>
      <c r="J71" s="284">
        <f>+'SAN JUAN'!P$48</f>
        <v>0</v>
      </c>
      <c r="K71" s="288">
        <f t="shared" si="1"/>
        <v>34515</v>
      </c>
      <c r="L71" s="289">
        <f t="shared" si="2"/>
        <v>37067</v>
      </c>
      <c r="M71" s="85">
        <f t="shared" si="3"/>
        <v>2594690</v>
      </c>
      <c r="O71" s="464"/>
      <c r="P71" s="465"/>
    </row>
    <row r="72" spans="2:16" ht="18" customHeight="1" x14ac:dyDescent="0.3">
      <c r="B72" s="78" t="s">
        <v>70</v>
      </c>
      <c r="C72" s="275">
        <f>+OCOA!F$48</f>
        <v>0</v>
      </c>
      <c r="D72" s="273">
        <f>+OCOA!J$48</f>
        <v>4725</v>
      </c>
      <c r="E72" s="277">
        <f>+OCOA!K$48</f>
        <v>332</v>
      </c>
      <c r="F72" s="277">
        <f>+OCOA!L$48</f>
        <v>32901</v>
      </c>
      <c r="G72" s="277">
        <f>+OCOA!M$48</f>
        <v>0</v>
      </c>
      <c r="H72" s="278">
        <f t="shared" si="4"/>
        <v>33233</v>
      </c>
      <c r="I72" s="284">
        <f>+OCOA!O$48</f>
        <v>0</v>
      </c>
      <c r="J72" s="284">
        <f>+OCOA!P$48</f>
        <v>0</v>
      </c>
      <c r="K72" s="288">
        <f t="shared" si="1"/>
        <v>33233</v>
      </c>
      <c r="L72" s="289">
        <f t="shared" si="2"/>
        <v>37958</v>
      </c>
      <c r="M72" s="85">
        <f t="shared" si="3"/>
        <v>2657060</v>
      </c>
      <c r="O72" s="464"/>
      <c r="P72" s="465"/>
    </row>
    <row r="73" spans="2:16" ht="18" customHeight="1" x14ac:dyDescent="0.3">
      <c r="B73" s="78" t="s">
        <v>116</v>
      </c>
      <c r="C73" s="275">
        <f>+'SAN PEDRO'!F$48</f>
        <v>0</v>
      </c>
      <c r="D73" s="273">
        <f>+'SAN PEDRO'!J$48</f>
        <v>0</v>
      </c>
      <c r="E73" s="277">
        <f>+'SAN PEDRO'!K$48</f>
        <v>673</v>
      </c>
      <c r="F73" s="277">
        <f>+'SAN PEDRO'!L$48</f>
        <v>25941</v>
      </c>
      <c r="G73" s="277">
        <f>+'SAN PEDRO'!M$48</f>
        <v>0</v>
      </c>
      <c r="H73" s="278">
        <f t="shared" si="4"/>
        <v>26614</v>
      </c>
      <c r="I73" s="284">
        <f>+'SAN PEDRO'!O$48</f>
        <v>0</v>
      </c>
      <c r="J73" s="284">
        <f>+'SAN PEDRO'!P$48</f>
        <v>0</v>
      </c>
      <c r="K73" s="288">
        <f t="shared" si="1"/>
        <v>26614</v>
      </c>
      <c r="L73" s="289">
        <f t="shared" si="2"/>
        <v>26614</v>
      </c>
      <c r="M73" s="85">
        <f t="shared" si="3"/>
        <v>1862980</v>
      </c>
      <c r="O73" s="464"/>
      <c r="P73" s="465"/>
    </row>
    <row r="74" spans="2:16" ht="18" customHeight="1" x14ac:dyDescent="0.3">
      <c r="B74" s="78" t="s">
        <v>117</v>
      </c>
      <c r="C74" s="275">
        <f>+'SANTIAGO RDGUEZ'!F$48</f>
        <v>0</v>
      </c>
      <c r="D74" s="273">
        <f>+'SANTIAGO RDGUEZ'!J$48</f>
        <v>0</v>
      </c>
      <c r="E74" s="277">
        <f>+'SANTIAGO RDGUEZ'!K$48</f>
        <v>440</v>
      </c>
      <c r="F74" s="277">
        <f>+'SANTIAGO RDGUEZ'!L$48</f>
        <v>26404</v>
      </c>
      <c r="G74" s="277">
        <f>+'SANTIAGO RDGUEZ'!M$48</f>
        <v>0</v>
      </c>
      <c r="H74" s="278">
        <f t="shared" si="4"/>
        <v>26844</v>
      </c>
      <c r="I74" s="284">
        <f>+'SANTIAGO RDGUEZ'!O$48</f>
        <v>0</v>
      </c>
      <c r="J74" s="284">
        <f>+'SANTIAGO RDGUEZ'!P$48</f>
        <v>0</v>
      </c>
      <c r="K74" s="288">
        <f t="shared" si="1"/>
        <v>26844</v>
      </c>
      <c r="L74" s="289">
        <f t="shared" si="2"/>
        <v>26844</v>
      </c>
      <c r="M74" s="85">
        <f t="shared" si="3"/>
        <v>1879080</v>
      </c>
      <c r="N74" s="72" t="s">
        <v>38</v>
      </c>
      <c r="O74" s="464"/>
      <c r="P74" s="465"/>
    </row>
    <row r="75" spans="2:16" ht="18" customHeight="1" x14ac:dyDescent="0.3">
      <c r="B75" s="78" t="s">
        <v>101</v>
      </c>
      <c r="C75" s="275">
        <f>+MOCA!F$48</f>
        <v>0</v>
      </c>
      <c r="D75" s="273">
        <f>+MOCA!J$48</f>
        <v>500</v>
      </c>
      <c r="E75" s="277">
        <f>+MOCA!K$48</f>
        <v>461</v>
      </c>
      <c r="F75" s="277">
        <f>+MOCA!L$48</f>
        <v>16361</v>
      </c>
      <c r="G75" s="277">
        <f>+MOCA!M$48</f>
        <v>383</v>
      </c>
      <c r="H75" s="278">
        <f t="shared" si="4"/>
        <v>17205</v>
      </c>
      <c r="I75" s="284">
        <f>+MOCA!O$48</f>
        <v>0</v>
      </c>
      <c r="J75" s="284">
        <f>+MOCA!P$48</f>
        <v>0</v>
      </c>
      <c r="K75" s="288">
        <f t="shared" si="1"/>
        <v>17205</v>
      </c>
      <c r="L75" s="289">
        <f t="shared" si="2"/>
        <v>17705</v>
      </c>
      <c r="M75" s="85">
        <f t="shared" si="3"/>
        <v>1239350</v>
      </c>
      <c r="O75" s="464"/>
      <c r="P75" s="465"/>
    </row>
    <row r="76" spans="2:16" ht="18" customHeight="1" x14ac:dyDescent="0.3">
      <c r="B76" s="78" t="s">
        <v>203</v>
      </c>
      <c r="C76" s="275">
        <f>+'VILLA LIBERACION'!F$48</f>
        <v>0</v>
      </c>
      <c r="D76" s="273">
        <f>+'VILLA LIBERACION'!J$48</f>
        <v>0</v>
      </c>
      <c r="E76" s="277">
        <f>+'VILLA LIBERACION'!K$48</f>
        <v>690</v>
      </c>
      <c r="F76" s="277">
        <f>+'VILLA LIBERACION'!L$48</f>
        <v>79620</v>
      </c>
      <c r="G76" s="277">
        <f>+'VILLA LIBERACION'!M$48</f>
        <v>0</v>
      </c>
      <c r="H76" s="278">
        <f t="shared" si="4"/>
        <v>80310</v>
      </c>
      <c r="I76" s="284">
        <f>+'VILLA LIBERACION'!O$48</f>
        <v>0</v>
      </c>
      <c r="J76" s="284">
        <f>+'VILLA LIBERACION'!P$48</f>
        <v>0</v>
      </c>
      <c r="K76" s="288">
        <f t="shared" si="1"/>
        <v>80310</v>
      </c>
      <c r="L76" s="289">
        <f t="shared" si="2"/>
        <v>80310</v>
      </c>
      <c r="M76" s="85">
        <f t="shared" si="3"/>
        <v>5621700</v>
      </c>
      <c r="O76" s="464"/>
      <c r="P76" s="465"/>
    </row>
    <row r="77" spans="2:16" ht="18" customHeight="1" thickBot="1" x14ac:dyDescent="0.35">
      <c r="B77" s="81" t="s">
        <v>118</v>
      </c>
      <c r="C77" s="275">
        <f>+'VILLA GONZALEZ'!F$48</f>
        <v>0</v>
      </c>
      <c r="D77" s="273">
        <f>+'VILLA GONZALEZ'!J$48</f>
        <v>0</v>
      </c>
      <c r="E77" s="277">
        <f>+'VILLA GONZALEZ'!K$48</f>
        <v>440</v>
      </c>
      <c r="F77" s="277">
        <f>+'VILLA GONZALEZ'!L$48</f>
        <v>19990</v>
      </c>
      <c r="G77" s="277">
        <f>+'VILLA GONZALEZ'!M$48</f>
        <v>0</v>
      </c>
      <c r="H77" s="278">
        <f t="shared" si="4"/>
        <v>20430</v>
      </c>
      <c r="I77" s="284">
        <f>+'VILLA GONZALEZ'!O48</f>
        <v>0</v>
      </c>
      <c r="J77" s="284">
        <f>+'VILLA GONZALEZ'!P$48</f>
        <v>0</v>
      </c>
      <c r="K77" s="288">
        <f t="shared" si="1"/>
        <v>20430</v>
      </c>
      <c r="L77" s="289">
        <f t="shared" si="2"/>
        <v>20430</v>
      </c>
      <c r="M77" s="85">
        <f t="shared" si="3"/>
        <v>1430100</v>
      </c>
      <c r="O77" s="464"/>
      <c r="P77" s="465"/>
    </row>
    <row r="78" spans="2:16" ht="18" customHeight="1" thickBot="1" x14ac:dyDescent="0.35">
      <c r="B78" s="321" t="s">
        <v>206</v>
      </c>
      <c r="C78" s="275">
        <f>+BOHECHIO!F$48</f>
        <v>0</v>
      </c>
      <c r="D78" s="273">
        <f>+BOHECHIO!J$48</f>
        <v>0</v>
      </c>
      <c r="E78" s="277">
        <f>+BOHECHIO!K$48</f>
        <v>220</v>
      </c>
      <c r="F78" s="277">
        <f>+BOHECHIO!L$48</f>
        <v>7545</v>
      </c>
      <c r="G78" s="277">
        <f>+BOHECHIO!M$48</f>
        <v>0</v>
      </c>
      <c r="H78" s="278">
        <f t="shared" si="4"/>
        <v>7765</v>
      </c>
      <c r="I78" s="284">
        <f>+BOHECHIO!O$48</f>
        <v>0</v>
      </c>
      <c r="J78" s="284">
        <f>+BOHECHIO!P$48</f>
        <v>0</v>
      </c>
      <c r="K78" s="288">
        <f t="shared" si="1"/>
        <v>7765</v>
      </c>
      <c r="L78" s="289">
        <f t="shared" si="2"/>
        <v>7765</v>
      </c>
      <c r="M78" s="85">
        <f t="shared" si="3"/>
        <v>543550</v>
      </c>
      <c r="O78" s="464"/>
      <c r="P78" s="465"/>
    </row>
    <row r="79" spans="2:16" ht="18" customHeight="1" thickBot="1" x14ac:dyDescent="0.35">
      <c r="B79" s="321" t="s">
        <v>100</v>
      </c>
      <c r="C79" s="275">
        <f>+BONAO!F$48</f>
        <v>0</v>
      </c>
      <c r="D79" s="273">
        <f>+BONAO!J$48</f>
        <v>0</v>
      </c>
      <c r="E79" s="277">
        <f>+BONAO!K$48</f>
        <v>334</v>
      </c>
      <c r="F79" s="277">
        <f>+BONAO!L$48</f>
        <v>35721</v>
      </c>
      <c r="G79" s="277">
        <f>+BONAO!M$48</f>
        <v>0</v>
      </c>
      <c r="H79" s="278">
        <f t="shared" ref="H79:H90" si="5">+E79+F79+G79</f>
        <v>36055</v>
      </c>
      <c r="I79" s="284">
        <f>+BONAO!O$48</f>
        <v>0</v>
      </c>
      <c r="J79" s="284">
        <f>+BONAO!P$48</f>
        <v>0</v>
      </c>
      <c r="K79" s="288">
        <f t="shared" ref="K79:K89" si="6">+H79+I79+J79</f>
        <v>36055</v>
      </c>
      <c r="L79" s="289">
        <f t="shared" ref="L79:L89" si="7">+K79+D79+C79</f>
        <v>36055</v>
      </c>
      <c r="M79" s="85">
        <f t="shared" ref="M79:M89" si="8">+L79*M$19</f>
        <v>2523850</v>
      </c>
      <c r="O79" s="464"/>
      <c r="P79" s="465"/>
    </row>
    <row r="80" spans="2:16" ht="18" customHeight="1" thickBot="1" x14ac:dyDescent="0.35">
      <c r="B80" s="321" t="s">
        <v>214</v>
      </c>
      <c r="C80" s="275">
        <f>+GALVAN!F$48</f>
        <v>0</v>
      </c>
      <c r="D80" s="273">
        <f>+GALVAN!J$48</f>
        <v>0</v>
      </c>
      <c r="E80" s="277">
        <f>+GALVAN!K$48</f>
        <v>668</v>
      </c>
      <c r="F80" s="277">
        <f>+GALVAN!L$48</f>
        <v>35281</v>
      </c>
      <c r="G80" s="277">
        <f>+GALVAN!M$48</f>
        <v>0</v>
      </c>
      <c r="H80" s="278">
        <f t="shared" si="5"/>
        <v>35949</v>
      </c>
      <c r="I80" s="284">
        <f>+GALVAN!O$48</f>
        <v>0</v>
      </c>
      <c r="J80" s="284">
        <f>+GALVAN!P$48</f>
        <v>0</v>
      </c>
      <c r="K80" s="288">
        <f t="shared" si="6"/>
        <v>35949</v>
      </c>
      <c r="L80" s="289">
        <f t="shared" si="7"/>
        <v>35949</v>
      </c>
      <c r="M80" s="85">
        <f t="shared" si="8"/>
        <v>2516430</v>
      </c>
      <c r="O80" s="464"/>
      <c r="P80" s="465"/>
    </row>
    <row r="81" spans="1:16" ht="18" customHeight="1" thickBot="1" x14ac:dyDescent="0.35">
      <c r="B81" s="321" t="s">
        <v>215</v>
      </c>
      <c r="C81" s="275">
        <f>+'POSTRER RIO'!F$48</f>
        <v>0</v>
      </c>
      <c r="D81" s="273">
        <f>+'POSTRER RIO'!J$48</f>
        <v>0</v>
      </c>
      <c r="E81" s="277">
        <f>+'POSTRER RIO'!K$48</f>
        <v>514</v>
      </c>
      <c r="F81" s="277">
        <f>+'POSTRER RIO'!L$48</f>
        <v>30440</v>
      </c>
      <c r="G81" s="277">
        <f>+'POSTRER RIO'!M$48</f>
        <v>0</v>
      </c>
      <c r="H81" s="278">
        <f t="shared" si="5"/>
        <v>30954</v>
      </c>
      <c r="I81" s="284">
        <f>+'POSTRER RIO'!O$48</f>
        <v>0</v>
      </c>
      <c r="J81" s="284">
        <f>+'POSTRER RIO'!P$48</f>
        <v>0</v>
      </c>
      <c r="K81" s="288">
        <f t="shared" si="6"/>
        <v>30954</v>
      </c>
      <c r="L81" s="289">
        <f t="shared" si="7"/>
        <v>30954</v>
      </c>
      <c r="M81" s="85">
        <f t="shared" si="8"/>
        <v>2166780</v>
      </c>
      <c r="O81" s="464"/>
      <c r="P81" s="465"/>
    </row>
    <row r="82" spans="1:16" ht="18" customHeight="1" thickBot="1" x14ac:dyDescent="0.35">
      <c r="B82" s="321" t="s">
        <v>229</v>
      </c>
      <c r="C82" s="275">
        <f>+ENRIQUILLO!F$48</f>
        <v>0</v>
      </c>
      <c r="D82" s="273">
        <f>+ENRIQUILLO!J$48</f>
        <v>0</v>
      </c>
      <c r="E82" s="277">
        <f>+ENRIQUILLO!K$48</f>
        <v>215</v>
      </c>
      <c r="F82" s="277">
        <f>+ENRIQUILLO!L$48</f>
        <v>18838</v>
      </c>
      <c r="G82" s="277">
        <f>+ENRIQUILLO!M$48</f>
        <v>0</v>
      </c>
      <c r="H82" s="278">
        <f t="shared" si="5"/>
        <v>19053</v>
      </c>
      <c r="I82" s="284">
        <f>+ENRIQUILLO!O$48</f>
        <v>0</v>
      </c>
      <c r="J82" s="284">
        <f>+ENRIQUILLO!P$48</f>
        <v>0</v>
      </c>
      <c r="K82" s="288">
        <f t="shared" si="6"/>
        <v>19053</v>
      </c>
      <c r="L82" s="289">
        <f t="shared" si="7"/>
        <v>19053</v>
      </c>
      <c r="M82" s="85">
        <f t="shared" si="8"/>
        <v>1333710</v>
      </c>
      <c r="O82" s="464"/>
      <c r="P82" s="465"/>
    </row>
    <row r="83" spans="1:16" ht="18" customHeight="1" thickBot="1" x14ac:dyDescent="0.35">
      <c r="B83" s="321" t="s">
        <v>226</v>
      </c>
      <c r="C83" s="275">
        <f>+'ARROYO CANO'!F$48</f>
        <v>0</v>
      </c>
      <c r="D83" s="273">
        <f>+'ARROYO CANO'!J$48</f>
        <v>0</v>
      </c>
      <c r="E83" s="277">
        <f>+'ARROYO CANO'!K$48</f>
        <v>176</v>
      </c>
      <c r="F83" s="277">
        <f>+'ARROYO CANO'!L$48</f>
        <v>6232</v>
      </c>
      <c r="G83" s="277">
        <f>+'ARROYO CANO'!M$48</f>
        <v>0</v>
      </c>
      <c r="H83" s="278">
        <f t="shared" si="5"/>
        <v>6408</v>
      </c>
      <c r="I83" s="284">
        <f>+'ARROYO CANO'!O$48</f>
        <v>0</v>
      </c>
      <c r="J83" s="284">
        <f>+'ARROYO CANO'!P$48</f>
        <v>0</v>
      </c>
      <c r="K83" s="288">
        <f t="shared" si="6"/>
        <v>6408</v>
      </c>
      <c r="L83" s="289">
        <f t="shared" si="7"/>
        <v>6408</v>
      </c>
      <c r="M83" s="85">
        <f t="shared" si="8"/>
        <v>448560</v>
      </c>
      <c r="O83" s="464"/>
      <c r="P83" s="465"/>
    </row>
    <row r="84" spans="1:16" ht="18" customHeight="1" thickBot="1" x14ac:dyDescent="0.35">
      <c r="B84" s="321" t="s">
        <v>227</v>
      </c>
      <c r="C84" s="275">
        <f>+PARAISO!F$48</f>
        <v>0</v>
      </c>
      <c r="D84" s="273">
        <f>+PARAISO!J$48</f>
        <v>0</v>
      </c>
      <c r="E84" s="277">
        <f>+PARAISO!K$48</f>
        <v>600</v>
      </c>
      <c r="F84" s="277">
        <f>+PARAISO!L$48</f>
        <v>16547</v>
      </c>
      <c r="G84" s="277">
        <f>+PARAISO!M$48</f>
        <v>0</v>
      </c>
      <c r="H84" s="278">
        <f t="shared" si="5"/>
        <v>17147</v>
      </c>
      <c r="I84" s="284">
        <f>+PARAISO!O$48</f>
        <v>0</v>
      </c>
      <c r="J84" s="284">
        <f>+PARAISO!P$48</f>
        <v>0</v>
      </c>
      <c r="K84" s="288">
        <f t="shared" si="6"/>
        <v>17147</v>
      </c>
      <c r="L84" s="289">
        <f t="shared" si="7"/>
        <v>17147</v>
      </c>
      <c r="M84" s="85">
        <f t="shared" si="8"/>
        <v>1200290</v>
      </c>
      <c r="O84" s="464"/>
      <c r="P84" s="465"/>
    </row>
    <row r="85" spans="1:16" ht="18" customHeight="1" thickBot="1" x14ac:dyDescent="0.35">
      <c r="B85" s="321" t="s">
        <v>228</v>
      </c>
      <c r="C85" s="275">
        <f>+'EL YAQUE'!F$48</f>
        <v>0</v>
      </c>
      <c r="D85" s="273">
        <f>+'EL YAQUE'!J$48</f>
        <v>0</v>
      </c>
      <c r="E85" s="277">
        <f>+'EL YAQUE'!K$48</f>
        <v>190</v>
      </c>
      <c r="F85" s="277">
        <f>+'EL YAQUE'!L$48</f>
        <v>6155</v>
      </c>
      <c r="G85" s="277">
        <f>+'EL YAQUE'!M$48</f>
        <v>0</v>
      </c>
      <c r="H85" s="278">
        <f t="shared" si="5"/>
        <v>6345</v>
      </c>
      <c r="I85" s="284">
        <f>+'EL YAQUE'!O$48</f>
        <v>0</v>
      </c>
      <c r="J85" s="284">
        <f>+'EL YAQUE'!P$48</f>
        <v>0</v>
      </c>
      <c r="K85" s="288">
        <f t="shared" si="6"/>
        <v>6345</v>
      </c>
      <c r="L85" s="289">
        <f t="shared" si="7"/>
        <v>6345</v>
      </c>
      <c r="M85" s="85">
        <f t="shared" si="8"/>
        <v>444150</v>
      </c>
      <c r="O85" s="464"/>
      <c r="P85" s="465"/>
    </row>
    <row r="86" spans="1:16" ht="18" customHeight="1" thickBot="1" x14ac:dyDescent="0.35">
      <c r="B86" s="321" t="s">
        <v>237</v>
      </c>
      <c r="C86" s="275">
        <f>+'HATO MAYOR'!F$48</f>
        <v>0</v>
      </c>
      <c r="D86" s="273">
        <f>+'HATO MAYOR'!J$48</f>
        <v>0</v>
      </c>
      <c r="E86" s="277">
        <f>+'HATO MAYOR'!K$48</f>
        <v>353</v>
      </c>
      <c r="F86" s="277">
        <f>+'HATO MAYOR'!L$48</f>
        <v>41658</v>
      </c>
      <c r="G86" s="277">
        <f>+'HATO MAYOR'!M$48</f>
        <v>0</v>
      </c>
      <c r="H86" s="278">
        <f t="shared" si="5"/>
        <v>42011</v>
      </c>
      <c r="I86" s="284">
        <f>+'HATO MAYOR'!O$48</f>
        <v>0</v>
      </c>
      <c r="J86" s="284">
        <f>+'HATO MAYOR'!P$48</f>
        <v>0</v>
      </c>
      <c r="K86" s="288">
        <f t="shared" si="6"/>
        <v>42011</v>
      </c>
      <c r="L86" s="289">
        <f t="shared" si="7"/>
        <v>42011</v>
      </c>
      <c r="M86" s="85">
        <f t="shared" si="8"/>
        <v>2940770</v>
      </c>
      <c r="O86" s="464"/>
      <c r="P86" s="465"/>
    </row>
    <row r="87" spans="1:16" ht="18" customHeight="1" thickBot="1" x14ac:dyDescent="0.35">
      <c r="B87" s="321" t="s">
        <v>241</v>
      </c>
      <c r="C87" s="275">
        <f>+'LOTERIA NAC.'!F$48</f>
        <v>500</v>
      </c>
      <c r="D87" s="273">
        <f>+'LOTERIA NAC.'!J$48</f>
        <v>6773</v>
      </c>
      <c r="E87" s="277">
        <f>+'LOTERIA NAC.'!K$48</f>
        <v>511</v>
      </c>
      <c r="F87" s="277">
        <f>+'LOTERIA NAC.'!L$48</f>
        <v>1098</v>
      </c>
      <c r="G87" s="277">
        <f>+'LOTERIA NAC.'!M$48</f>
        <v>0</v>
      </c>
      <c r="H87" s="278">
        <f t="shared" si="5"/>
        <v>1609</v>
      </c>
      <c r="I87" s="284">
        <f>+'LOTERIA NAC.'!O$48</f>
        <v>0</v>
      </c>
      <c r="J87" s="284">
        <f>+'LOTERIA NAC.'!P$48</f>
        <v>0</v>
      </c>
      <c r="K87" s="288">
        <f t="shared" si="6"/>
        <v>1609</v>
      </c>
      <c r="L87" s="289">
        <f t="shared" si="7"/>
        <v>8882</v>
      </c>
      <c r="M87" s="85">
        <f t="shared" si="8"/>
        <v>621740</v>
      </c>
      <c r="O87" s="464"/>
      <c r="P87" s="465"/>
    </row>
    <row r="88" spans="1:16" ht="18" customHeight="1" thickBot="1" x14ac:dyDescent="0.35">
      <c r="B88" s="321" t="s">
        <v>248</v>
      </c>
      <c r="C88" s="275">
        <f>+UASD!F$48</f>
        <v>0</v>
      </c>
      <c r="D88" s="273">
        <f>+UASD!J$48</f>
        <v>0</v>
      </c>
      <c r="E88" s="277">
        <f>+UASD!K$48</f>
        <v>9465</v>
      </c>
      <c r="F88" s="277">
        <f>+UASD!L$48</f>
        <v>159027</v>
      </c>
      <c r="G88" s="277">
        <f>+UASD!M$48</f>
        <v>54660</v>
      </c>
      <c r="H88" s="278">
        <f t="shared" ref="H88" si="9">+E88+F88+G88</f>
        <v>223152</v>
      </c>
      <c r="I88" s="284">
        <f>+UASD!O$48</f>
        <v>0</v>
      </c>
      <c r="J88" s="284">
        <f>+UASD!P$48</f>
        <v>0</v>
      </c>
      <c r="K88" s="288">
        <f t="shared" ref="K88" si="10">+H88+I88+J88</f>
        <v>223152</v>
      </c>
      <c r="L88" s="289">
        <f t="shared" ref="L88" si="11">+K88+D88+C88</f>
        <v>223152</v>
      </c>
      <c r="M88" s="85">
        <f t="shared" ref="M88" si="12">+L88*M$19</f>
        <v>15620640</v>
      </c>
      <c r="O88" s="464"/>
      <c r="P88" s="465"/>
    </row>
    <row r="89" spans="1:16" ht="18" customHeight="1" thickBot="1" x14ac:dyDescent="0.35">
      <c r="B89" s="321" t="s">
        <v>255</v>
      </c>
      <c r="C89" s="275">
        <f>+HIGUEY!F$48</f>
        <v>0</v>
      </c>
      <c r="D89" s="273">
        <f>+HIGUEY!J$48</f>
        <v>0</v>
      </c>
      <c r="E89" s="277">
        <f>+HIGUEY!K$48</f>
        <v>0</v>
      </c>
      <c r="F89" s="277">
        <f>+HIGUEY!L$48</f>
        <v>20393</v>
      </c>
      <c r="G89" s="277">
        <f>+HIGUEY!M$48</f>
        <v>0</v>
      </c>
      <c r="H89" s="278">
        <f t="shared" si="5"/>
        <v>20393</v>
      </c>
      <c r="I89" s="284">
        <f>+HIGUEY!O$48</f>
        <v>0</v>
      </c>
      <c r="J89" s="284">
        <f>+HIGUEY!P$48</f>
        <v>0</v>
      </c>
      <c r="K89" s="288">
        <f t="shared" si="6"/>
        <v>20393</v>
      </c>
      <c r="L89" s="289">
        <f t="shared" si="7"/>
        <v>20393</v>
      </c>
      <c r="M89" s="85">
        <f t="shared" si="8"/>
        <v>1427510</v>
      </c>
      <c r="O89" s="464"/>
      <c r="P89" s="465"/>
    </row>
    <row r="90" spans="1:16" s="86" customFormat="1" ht="45.6" customHeight="1" x14ac:dyDescent="0.3">
      <c r="B90" s="435" t="s">
        <v>119</v>
      </c>
      <c r="C90" s="436">
        <f>SUM(C36:C89)</f>
        <v>500</v>
      </c>
      <c r="D90" s="436">
        <f>SUM(D36:D89)</f>
        <v>294213</v>
      </c>
      <c r="E90" s="436">
        <f>SUM(E36:E89)</f>
        <v>56677</v>
      </c>
      <c r="F90" s="436">
        <f>SUM(F36:F89)</f>
        <v>1875443</v>
      </c>
      <c r="G90" s="436">
        <f>SUM(G36:G89)</f>
        <v>66984</v>
      </c>
      <c r="H90" s="437">
        <f t="shared" si="5"/>
        <v>1999104</v>
      </c>
      <c r="I90" s="436">
        <f>SUM(I36:I89)</f>
        <v>0</v>
      </c>
      <c r="J90" s="436">
        <f>SUM(J36:J89)</f>
        <v>0</v>
      </c>
      <c r="K90" s="436">
        <f>SUM(K36:K89)</f>
        <v>1999104</v>
      </c>
      <c r="L90" s="436">
        <f>SUM(L36:L89)</f>
        <v>2293817</v>
      </c>
      <c r="M90" s="438">
        <f>SUM(M36:M89)</f>
        <v>160567190</v>
      </c>
      <c r="O90" s="466"/>
      <c r="P90" s="481"/>
    </row>
    <row r="91" spans="1:16" s="87" customFormat="1" ht="13.2" customHeight="1" x14ac:dyDescent="0.3">
      <c r="A91" s="79"/>
      <c r="D91" s="79"/>
      <c r="E91" s="79"/>
      <c r="F91" s="79"/>
      <c r="G91" s="79"/>
      <c r="I91" s="79"/>
      <c r="J91" s="79"/>
      <c r="K91" s="79"/>
      <c r="L91" s="79"/>
    </row>
    <row r="92" spans="1:16" s="86" customFormat="1" ht="15.6" x14ac:dyDescent="0.3">
      <c r="B92" s="280" t="s">
        <v>1</v>
      </c>
      <c r="C92" s="281">
        <f>+C90+C31</f>
        <v>500</v>
      </c>
      <c r="D92" s="322">
        <f>+D90+D31+L23</f>
        <v>353178</v>
      </c>
      <c r="E92" s="281">
        <f>+E90+E31</f>
        <v>56677</v>
      </c>
      <c r="F92" s="479">
        <f>+F90+F31</f>
        <v>1875443</v>
      </c>
      <c r="G92" s="281">
        <f>+G90+G31</f>
        <v>66984</v>
      </c>
      <c r="H92" s="281">
        <f>+H90+H31+H26</f>
        <v>2302847</v>
      </c>
      <c r="I92" s="281">
        <f>+I90+I31+I26</f>
        <v>0</v>
      </c>
      <c r="J92" s="281">
        <f>+J90+J31+J26</f>
        <v>0</v>
      </c>
      <c r="K92" s="357">
        <f>+K90+K31+K26</f>
        <v>2302847</v>
      </c>
      <c r="L92" s="479">
        <f>+L90+L31+L26+L23</f>
        <v>2656525</v>
      </c>
      <c r="M92" s="282">
        <f>+M90+M31+M26+M23</f>
        <v>185088735</v>
      </c>
    </row>
    <row r="93" spans="1:16" s="86" customFormat="1" ht="15.6" x14ac:dyDescent="0.3">
      <c r="B93" s="449"/>
      <c r="C93" s="450"/>
      <c r="D93" s="450"/>
      <c r="E93" s="450"/>
      <c r="F93" s="450"/>
      <c r="G93" s="450"/>
      <c r="H93" s="450"/>
      <c r="I93" s="450"/>
      <c r="J93" s="450"/>
      <c r="K93" s="79"/>
      <c r="L93" s="450"/>
      <c r="M93" s="451"/>
    </row>
    <row r="94" spans="1:16" x14ac:dyDescent="0.3">
      <c r="I94" s="146"/>
    </row>
    <row r="95" spans="1:16" ht="33" customHeight="1" x14ac:dyDescent="0.3">
      <c r="B95" s="580" t="s">
        <v>201</v>
      </c>
      <c r="C95" s="580"/>
      <c r="D95" s="580"/>
      <c r="E95" s="580"/>
      <c r="F95" s="580"/>
      <c r="G95" s="580"/>
      <c r="H95" s="580"/>
      <c r="I95" s="580"/>
      <c r="J95" s="580"/>
      <c r="K95" s="580"/>
      <c r="L95" s="580"/>
      <c r="M95" s="580"/>
    </row>
    <row r="96" spans="1:16" ht="23.4" x14ac:dyDescent="0.3">
      <c r="B96" s="581" t="s">
        <v>120</v>
      </c>
      <c r="C96" s="581"/>
      <c r="D96" s="581"/>
      <c r="E96" s="581"/>
      <c r="F96" s="581"/>
      <c r="G96" s="581"/>
      <c r="H96" s="581"/>
      <c r="I96" s="581"/>
      <c r="J96" s="581"/>
      <c r="K96" s="581"/>
      <c r="L96" s="581"/>
      <c r="M96" s="581"/>
    </row>
    <row r="97" spans="1:13" ht="23.4" x14ac:dyDescent="0.3">
      <c r="B97" s="410"/>
      <c r="C97" s="410"/>
      <c r="D97" s="410"/>
      <c r="E97" s="410"/>
      <c r="F97" s="410"/>
      <c r="G97" s="410"/>
      <c r="H97" s="410"/>
      <c r="I97" s="410"/>
      <c r="J97" s="410"/>
      <c r="K97" s="410"/>
      <c r="L97" s="410"/>
      <c r="M97" s="410"/>
    </row>
    <row r="101" spans="1:13" x14ac:dyDescent="0.3">
      <c r="B101" s="626"/>
      <c r="C101" s="626"/>
      <c r="D101" s="626"/>
      <c r="E101" s="626"/>
      <c r="F101" s="626"/>
      <c r="G101" s="626"/>
      <c r="H101" s="626"/>
      <c r="I101" s="626"/>
      <c r="J101" s="626"/>
      <c r="K101" s="626"/>
      <c r="L101" s="626"/>
    </row>
    <row r="102" spans="1:13" x14ac:dyDescent="0.3">
      <c r="B102" s="411"/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</row>
    <row r="103" spans="1:13" x14ac:dyDescent="0.3">
      <c r="B103" s="626"/>
      <c r="C103" s="626"/>
      <c r="D103" s="626"/>
      <c r="E103" s="626"/>
      <c r="F103" s="626"/>
      <c r="G103" s="626"/>
      <c r="H103" s="626"/>
      <c r="I103" s="626"/>
      <c r="J103" s="626"/>
      <c r="K103" s="626"/>
      <c r="L103" s="626"/>
    </row>
    <row r="106" spans="1:13" x14ac:dyDescent="0.3">
      <c r="A106" s="72" t="s">
        <v>38</v>
      </c>
    </row>
    <row r="109" spans="1:13" ht="18" x14ac:dyDescent="0.3">
      <c r="B109" s="641" t="s">
        <v>45</v>
      </c>
      <c r="C109" s="641"/>
      <c r="D109" s="641"/>
      <c r="E109" s="641"/>
      <c r="F109" s="641"/>
      <c r="G109" s="641"/>
      <c r="H109" s="641"/>
      <c r="I109" s="363"/>
    </row>
    <row r="110" spans="1:13" ht="15.6" x14ac:dyDescent="0.3">
      <c r="B110" s="642" t="s">
        <v>46</v>
      </c>
      <c r="C110" s="642"/>
      <c r="D110" s="642"/>
      <c r="E110" s="642"/>
      <c r="F110" s="642"/>
      <c r="G110" s="642"/>
      <c r="H110" s="642"/>
      <c r="I110" s="364"/>
    </row>
    <row r="111" spans="1:13" ht="18" x14ac:dyDescent="0.35">
      <c r="B111" s="643" t="s">
        <v>252</v>
      </c>
      <c r="C111" s="643"/>
      <c r="D111" s="643"/>
      <c r="E111" s="643"/>
      <c r="F111" s="643"/>
      <c r="G111" s="643"/>
      <c r="H111" s="643"/>
      <c r="I111" s="365"/>
    </row>
    <row r="112" spans="1:13" x14ac:dyDescent="0.3">
      <c r="B112" s="644" t="s">
        <v>90</v>
      </c>
      <c r="C112" s="644"/>
      <c r="D112" s="644"/>
      <c r="E112" s="644"/>
      <c r="F112" s="644"/>
      <c r="G112" s="644"/>
      <c r="H112" s="644"/>
      <c r="I112" s="366"/>
    </row>
    <row r="113" spans="2:13" ht="14.4" x14ac:dyDescent="0.3">
      <c r="B113"/>
      <c r="C113"/>
      <c r="D113"/>
      <c r="E113"/>
      <c r="F113"/>
      <c r="G113"/>
    </row>
    <row r="114" spans="2:13" x14ac:dyDescent="0.3">
      <c r="B114" s="627" t="s">
        <v>91</v>
      </c>
      <c r="C114" s="628"/>
      <c r="D114" s="631" t="s">
        <v>1</v>
      </c>
      <c r="E114" s="632"/>
      <c r="F114" s="635" t="s">
        <v>121</v>
      </c>
      <c r="G114" s="637" t="s">
        <v>95</v>
      </c>
      <c r="H114" s="638"/>
    </row>
    <row r="115" spans="2:13" x14ac:dyDescent="0.3">
      <c r="B115" s="629"/>
      <c r="C115" s="630"/>
      <c r="D115" s="633"/>
      <c r="E115" s="634"/>
      <c r="F115" s="636"/>
      <c r="G115" s="639"/>
      <c r="H115" s="640"/>
    </row>
    <row r="116" spans="2:13" customFormat="1" ht="14.4" x14ac:dyDescent="0.3"/>
    <row r="117" spans="2:13" ht="15.6" x14ac:dyDescent="0.3">
      <c r="B117" s="617" t="s">
        <v>96</v>
      </c>
      <c r="C117" s="618"/>
      <c r="D117" s="618"/>
      <c r="E117" s="618"/>
      <c r="F117" s="618"/>
      <c r="G117" s="618"/>
      <c r="H117" s="619"/>
    </row>
    <row r="118" spans="2:13" customFormat="1" ht="14.4" x14ac:dyDescent="0.3"/>
    <row r="119" spans="2:13" ht="15.6" x14ac:dyDescent="0.3">
      <c r="B119" s="620" t="s">
        <v>122</v>
      </c>
      <c r="C119" s="621"/>
      <c r="D119" s="622">
        <f>+L26</f>
        <v>303743</v>
      </c>
      <c r="E119" s="623"/>
      <c r="F119" s="88">
        <f>+M19</f>
        <v>70</v>
      </c>
      <c r="G119" s="624">
        <f>D119*F119</f>
        <v>21262010</v>
      </c>
      <c r="H119" s="625"/>
    </row>
    <row r="120" spans="2:13" ht="15.6" x14ac:dyDescent="0.3">
      <c r="B120" s="620" t="s">
        <v>97</v>
      </c>
      <c r="C120" s="621"/>
      <c r="D120" s="622">
        <f>+L23</f>
        <v>58965</v>
      </c>
      <c r="E120" s="623"/>
      <c r="F120" s="88">
        <f>+G120/D120</f>
        <v>55.279148647502758</v>
      </c>
      <c r="G120" s="624">
        <f>+M23</f>
        <v>3259535</v>
      </c>
      <c r="H120" s="625"/>
    </row>
    <row r="121" spans="2:13" customFormat="1" ht="14.4" x14ac:dyDescent="0.3">
      <c r="D121" s="89"/>
      <c r="E121" s="89"/>
      <c r="F121" s="89"/>
      <c r="G121" s="90"/>
      <c r="H121" s="90"/>
    </row>
    <row r="122" spans="2:13" ht="15.6" x14ac:dyDescent="0.3">
      <c r="B122" s="609" t="s">
        <v>98</v>
      </c>
      <c r="C122" s="610"/>
      <c r="D122" s="611">
        <f>SUM(D119:D120)</f>
        <v>362708</v>
      </c>
      <c r="E122" s="612"/>
      <c r="F122"/>
      <c r="G122" s="613">
        <f>SUM(G119:G120)</f>
        <v>24521545</v>
      </c>
      <c r="H122" s="614"/>
      <c r="I122"/>
    </row>
    <row r="123" spans="2:13" customFormat="1" ht="14.4" x14ac:dyDescent="0.3"/>
    <row r="124" spans="2:13" ht="14.4" x14ac:dyDescent="0.3">
      <c r="B124" s="615" t="s">
        <v>99</v>
      </c>
      <c r="C124" s="616"/>
      <c r="D124" s="616"/>
      <c r="E124" s="616"/>
      <c r="F124" s="616"/>
      <c r="G124" s="616"/>
      <c r="H124" s="616"/>
      <c r="I124"/>
      <c r="J124"/>
      <c r="K124"/>
      <c r="L124"/>
      <c r="M124"/>
    </row>
    <row r="125" spans="2:13" customFormat="1" ht="14.4" x14ac:dyDescent="0.3"/>
    <row r="126" spans="2:13" ht="14.4" x14ac:dyDescent="0.3">
      <c r="B126" s="605" t="e">
        <f>+#REF!</f>
        <v>#REF!</v>
      </c>
      <c r="C126" s="606"/>
      <c r="D126" s="607">
        <v>0</v>
      </c>
      <c r="E126" s="608"/>
      <c r="F126" s="91">
        <f>+M19</f>
        <v>70</v>
      </c>
      <c r="G126" s="607">
        <f>+D126*F126</f>
        <v>0</v>
      </c>
      <c r="H126" s="608"/>
      <c r="I126"/>
      <c r="J126"/>
      <c r="K126"/>
      <c r="L126"/>
      <c r="M126"/>
    </row>
    <row r="127" spans="2:13" ht="14.4" x14ac:dyDescent="0.3">
      <c r="B127" s="605" t="e">
        <f>+#REF!</f>
        <v>#REF!</v>
      </c>
      <c r="C127" s="606"/>
      <c r="D127" s="607">
        <v>0</v>
      </c>
      <c r="E127" s="608"/>
      <c r="F127" s="91">
        <f>+M19</f>
        <v>70</v>
      </c>
      <c r="G127" s="607">
        <f>+D127*F127</f>
        <v>0</v>
      </c>
      <c r="H127" s="608"/>
      <c r="I127"/>
      <c r="J127"/>
      <c r="K127"/>
      <c r="L127"/>
      <c r="M127"/>
    </row>
    <row r="128" spans="2:13" ht="14.4" x14ac:dyDescent="0.3">
      <c r="B128" s="605" t="s">
        <v>102</v>
      </c>
      <c r="C128" s="606"/>
      <c r="D128" s="607">
        <v>0</v>
      </c>
      <c r="E128" s="608"/>
      <c r="F128" s="91">
        <f>+M19</f>
        <v>70</v>
      </c>
      <c r="G128" s="607">
        <f>+D128*F128</f>
        <v>0</v>
      </c>
      <c r="H128" s="608"/>
      <c r="I128"/>
      <c r="J128"/>
      <c r="K128"/>
      <c r="L128"/>
      <c r="M128"/>
    </row>
    <row r="129" spans="2:13" customFormat="1" ht="14.4" x14ac:dyDescent="0.3">
      <c r="B129" s="92"/>
      <c r="C129" s="92"/>
    </row>
    <row r="130" spans="2:13" ht="14.4" x14ac:dyDescent="0.3">
      <c r="B130" s="600" t="s">
        <v>103</v>
      </c>
      <c r="C130" s="601"/>
      <c r="D130" s="602">
        <f>SUM(D126:D128)</f>
        <v>0</v>
      </c>
      <c r="E130" s="603"/>
      <c r="F130" s="93"/>
      <c r="G130" s="602">
        <f>SUM(G126:H129)</f>
        <v>0</v>
      </c>
      <c r="H130" s="603"/>
      <c r="I130"/>
      <c r="J130"/>
      <c r="K130"/>
      <c r="L130"/>
      <c r="M130"/>
    </row>
    <row r="131" spans="2:13" customFormat="1" ht="14.4" x14ac:dyDescent="0.3">
      <c r="I131" t="s">
        <v>38</v>
      </c>
    </row>
    <row r="132" spans="2:13" ht="15.6" x14ac:dyDescent="0.3">
      <c r="B132" s="604" t="s">
        <v>123</v>
      </c>
      <c r="C132" s="604"/>
      <c r="D132" s="604"/>
      <c r="E132" s="604"/>
      <c r="F132" s="604"/>
      <c r="G132" s="604"/>
      <c r="H132" s="604"/>
    </row>
    <row r="133" spans="2:13" ht="15.6" x14ac:dyDescent="0.3">
      <c r="B133" s="471" t="s">
        <v>105</v>
      </c>
      <c r="C133" s="472"/>
      <c r="D133" s="469">
        <f t="shared" ref="D133:D164" si="13">+L36</f>
        <v>56652</v>
      </c>
      <c r="E133" s="470"/>
      <c r="F133" s="94">
        <f>+M$19</f>
        <v>70</v>
      </c>
      <c r="G133" s="598">
        <f>D133*F133</f>
        <v>3965640</v>
      </c>
      <c r="H133" s="599"/>
    </row>
    <row r="134" spans="2:13" ht="15.6" x14ac:dyDescent="0.3">
      <c r="B134" s="471" t="s">
        <v>106</v>
      </c>
      <c r="C134" s="472"/>
      <c r="D134" s="469">
        <f t="shared" si="13"/>
        <v>90881</v>
      </c>
      <c r="E134" s="470"/>
      <c r="F134" s="94">
        <f t="shared" ref="F134:F186" si="14">+M$19</f>
        <v>70</v>
      </c>
      <c r="G134" s="598">
        <f>D134*F134</f>
        <v>6361670</v>
      </c>
      <c r="H134" s="599"/>
    </row>
    <row r="135" spans="2:13" ht="15.6" x14ac:dyDescent="0.3">
      <c r="B135" s="471" t="s">
        <v>65</v>
      </c>
      <c r="C135" s="472"/>
      <c r="D135" s="469">
        <f t="shared" si="13"/>
        <v>393439</v>
      </c>
      <c r="E135" s="470"/>
      <c r="F135" s="94">
        <f>+M19</f>
        <v>70</v>
      </c>
      <c r="G135" s="598">
        <f>+F135*D135</f>
        <v>27540730</v>
      </c>
      <c r="H135" s="599"/>
    </row>
    <row r="136" spans="2:13" ht="15.6" x14ac:dyDescent="0.3">
      <c r="B136" s="471" t="s">
        <v>107</v>
      </c>
      <c r="C136" s="472"/>
      <c r="D136" s="469">
        <f t="shared" si="13"/>
        <v>69687</v>
      </c>
      <c r="E136" s="470"/>
      <c r="F136" s="94">
        <f>+M19</f>
        <v>70</v>
      </c>
      <c r="G136" s="598">
        <f>+F136*D136</f>
        <v>4878090</v>
      </c>
      <c r="H136" s="599"/>
    </row>
    <row r="137" spans="2:13" ht="15.6" x14ac:dyDescent="0.3">
      <c r="B137" s="471" t="s">
        <v>7</v>
      </c>
      <c r="C137" s="472"/>
      <c r="D137" s="469">
        <f t="shared" si="13"/>
        <v>100407</v>
      </c>
      <c r="E137" s="470"/>
      <c r="F137" s="94">
        <f>+M19</f>
        <v>70</v>
      </c>
      <c r="G137" s="598">
        <f>+F137*D137</f>
        <v>7028490</v>
      </c>
      <c r="H137" s="599"/>
    </row>
    <row r="138" spans="2:13" ht="15.6" x14ac:dyDescent="0.3">
      <c r="B138" s="471" t="s">
        <v>108</v>
      </c>
      <c r="C138" s="472"/>
      <c r="D138" s="469">
        <f t="shared" si="13"/>
        <v>54510</v>
      </c>
      <c r="E138" s="470"/>
      <c r="F138" s="94">
        <f t="shared" si="14"/>
        <v>70</v>
      </c>
      <c r="G138" s="598">
        <f t="shared" ref="G138:G175" si="15">D138*F138</f>
        <v>3815700</v>
      </c>
      <c r="H138" s="599"/>
    </row>
    <row r="139" spans="2:13" ht="15.6" x14ac:dyDescent="0.3">
      <c r="B139" s="471" t="s">
        <v>14</v>
      </c>
      <c r="C139" s="472"/>
      <c r="D139" s="469">
        <f t="shared" si="13"/>
        <v>57561</v>
      </c>
      <c r="E139" s="470"/>
      <c r="F139" s="94">
        <f t="shared" si="14"/>
        <v>70</v>
      </c>
      <c r="G139" s="598">
        <f t="shared" si="15"/>
        <v>4029270</v>
      </c>
      <c r="H139" s="599"/>
    </row>
    <row r="140" spans="2:13" ht="15.6" x14ac:dyDescent="0.3">
      <c r="B140" s="471" t="s">
        <v>2</v>
      </c>
      <c r="C140" s="472"/>
      <c r="D140" s="469">
        <f t="shared" si="13"/>
        <v>34407</v>
      </c>
      <c r="E140" s="470"/>
      <c r="F140" s="94">
        <f t="shared" si="14"/>
        <v>70</v>
      </c>
      <c r="G140" s="598">
        <f t="shared" si="15"/>
        <v>2408490</v>
      </c>
      <c r="H140" s="599"/>
    </row>
    <row r="141" spans="2:13" ht="15.6" x14ac:dyDescent="0.3">
      <c r="B141" s="471" t="s">
        <v>3</v>
      </c>
      <c r="C141" s="472"/>
      <c r="D141" s="469">
        <f t="shared" si="13"/>
        <v>70962</v>
      </c>
      <c r="E141" s="470"/>
      <c r="F141" s="94">
        <f t="shared" si="14"/>
        <v>70</v>
      </c>
      <c r="G141" s="598">
        <f t="shared" si="15"/>
        <v>4967340</v>
      </c>
      <c r="H141" s="599"/>
    </row>
    <row r="142" spans="2:13" ht="15.6" x14ac:dyDescent="0.3">
      <c r="B142" s="471" t="s">
        <v>43</v>
      </c>
      <c r="C142" s="472"/>
      <c r="D142" s="469">
        <f t="shared" si="13"/>
        <v>24403</v>
      </c>
      <c r="E142" s="470"/>
      <c r="F142" s="94">
        <f t="shared" si="14"/>
        <v>70</v>
      </c>
      <c r="G142" s="598">
        <f t="shared" si="15"/>
        <v>1708210</v>
      </c>
      <c r="H142" s="599"/>
    </row>
    <row r="143" spans="2:13" ht="15.6" x14ac:dyDescent="0.3">
      <c r="B143" s="471" t="s">
        <v>5</v>
      </c>
      <c r="C143" s="472"/>
      <c r="D143" s="469">
        <f t="shared" si="13"/>
        <v>25660</v>
      </c>
      <c r="E143" s="470"/>
      <c r="F143" s="94">
        <f t="shared" si="14"/>
        <v>70</v>
      </c>
      <c r="G143" s="598">
        <f t="shared" si="15"/>
        <v>1796200</v>
      </c>
      <c r="H143" s="599"/>
    </row>
    <row r="144" spans="2:13" ht="15.6" x14ac:dyDescent="0.3">
      <c r="B144" s="471" t="s">
        <v>40</v>
      </c>
      <c r="C144" s="472"/>
      <c r="D144" s="469">
        <f t="shared" si="13"/>
        <v>24943</v>
      </c>
      <c r="E144" s="470"/>
      <c r="F144" s="94">
        <f t="shared" si="14"/>
        <v>70</v>
      </c>
      <c r="G144" s="598">
        <f t="shared" si="15"/>
        <v>1746010</v>
      </c>
      <c r="H144" s="599"/>
    </row>
    <row r="145" spans="2:8" ht="15.6" x14ac:dyDescent="0.3">
      <c r="B145" s="471" t="s">
        <v>109</v>
      </c>
      <c r="C145" s="472"/>
      <c r="D145" s="469">
        <f t="shared" si="13"/>
        <v>20330</v>
      </c>
      <c r="E145" s="470"/>
      <c r="F145" s="94">
        <f t="shared" si="14"/>
        <v>70</v>
      </c>
      <c r="G145" s="598">
        <f t="shared" si="15"/>
        <v>1423100</v>
      </c>
      <c r="H145" s="599"/>
    </row>
    <row r="146" spans="2:8" ht="15.6" x14ac:dyDescent="0.3">
      <c r="B146" s="471" t="s">
        <v>8</v>
      </c>
      <c r="C146" s="472"/>
      <c r="D146" s="469">
        <f t="shared" si="13"/>
        <v>23813</v>
      </c>
      <c r="E146" s="470"/>
      <c r="F146" s="94">
        <f t="shared" si="14"/>
        <v>70</v>
      </c>
      <c r="G146" s="598">
        <f t="shared" si="15"/>
        <v>1666910</v>
      </c>
      <c r="H146" s="599"/>
    </row>
    <row r="147" spans="2:8" ht="15.6" x14ac:dyDescent="0.3">
      <c r="B147" s="471" t="s">
        <v>42</v>
      </c>
      <c r="C147" s="472"/>
      <c r="D147" s="469">
        <f t="shared" si="13"/>
        <v>13766</v>
      </c>
      <c r="E147" s="470"/>
      <c r="F147" s="94">
        <f t="shared" si="14"/>
        <v>70</v>
      </c>
      <c r="G147" s="598">
        <f t="shared" si="15"/>
        <v>963620</v>
      </c>
      <c r="H147" s="599"/>
    </row>
    <row r="148" spans="2:8" ht="15.6" x14ac:dyDescent="0.3">
      <c r="B148" s="471" t="s">
        <v>110</v>
      </c>
      <c r="C148" s="472"/>
      <c r="D148" s="469">
        <f t="shared" si="13"/>
        <v>32454</v>
      </c>
      <c r="E148" s="470"/>
      <c r="F148" s="94">
        <f t="shared" si="14"/>
        <v>70</v>
      </c>
      <c r="G148" s="598">
        <f t="shared" si="15"/>
        <v>2271780</v>
      </c>
      <c r="H148" s="599"/>
    </row>
    <row r="149" spans="2:8" ht="15.6" x14ac:dyDescent="0.3">
      <c r="B149" s="471" t="s">
        <v>4</v>
      </c>
      <c r="C149" s="472"/>
      <c r="D149" s="469">
        <f t="shared" si="13"/>
        <v>29692</v>
      </c>
      <c r="E149" s="470"/>
      <c r="F149" s="94">
        <f t="shared" si="14"/>
        <v>70</v>
      </c>
      <c r="G149" s="598">
        <f t="shared" si="15"/>
        <v>2078440</v>
      </c>
      <c r="H149" s="599"/>
    </row>
    <row r="150" spans="2:8" ht="15.6" x14ac:dyDescent="0.3">
      <c r="B150" s="471" t="s">
        <v>6</v>
      </c>
      <c r="C150" s="472"/>
      <c r="D150" s="469">
        <f t="shared" si="13"/>
        <v>27823</v>
      </c>
      <c r="E150" s="470"/>
      <c r="F150" s="94">
        <f t="shared" si="14"/>
        <v>70</v>
      </c>
      <c r="G150" s="598">
        <f t="shared" si="15"/>
        <v>1947610</v>
      </c>
      <c r="H150" s="599"/>
    </row>
    <row r="151" spans="2:8" ht="15.6" x14ac:dyDescent="0.3">
      <c r="B151" s="471" t="s">
        <v>10</v>
      </c>
      <c r="C151" s="472"/>
      <c r="D151" s="469">
        <f t="shared" si="13"/>
        <v>30414</v>
      </c>
      <c r="E151" s="470"/>
      <c r="F151" s="94">
        <f t="shared" si="14"/>
        <v>70</v>
      </c>
      <c r="G151" s="598">
        <f t="shared" si="15"/>
        <v>2128980</v>
      </c>
      <c r="H151" s="599"/>
    </row>
    <row r="152" spans="2:8" ht="15.6" x14ac:dyDescent="0.3">
      <c r="B152" s="471" t="s">
        <v>9</v>
      </c>
      <c r="C152" s="472"/>
      <c r="D152" s="469">
        <f t="shared" si="13"/>
        <v>21413</v>
      </c>
      <c r="E152" s="470"/>
      <c r="F152" s="94">
        <f t="shared" si="14"/>
        <v>70</v>
      </c>
      <c r="G152" s="598">
        <f t="shared" si="15"/>
        <v>1498910</v>
      </c>
      <c r="H152" s="599"/>
    </row>
    <row r="153" spans="2:8" ht="15.6" x14ac:dyDescent="0.3">
      <c r="B153" s="471" t="s">
        <v>12</v>
      </c>
      <c r="C153" s="472"/>
      <c r="D153" s="469">
        <f t="shared" si="13"/>
        <v>27605</v>
      </c>
      <c r="E153" s="470"/>
      <c r="F153" s="94">
        <f t="shared" si="14"/>
        <v>70</v>
      </c>
      <c r="G153" s="598">
        <f t="shared" si="15"/>
        <v>1932350</v>
      </c>
      <c r="H153" s="599"/>
    </row>
    <row r="154" spans="2:8" ht="15.6" x14ac:dyDescent="0.3">
      <c r="B154" s="471" t="s">
        <v>111</v>
      </c>
      <c r="C154" s="472"/>
      <c r="D154" s="469">
        <f t="shared" si="13"/>
        <v>28847</v>
      </c>
      <c r="E154" s="470"/>
      <c r="F154" s="94">
        <f t="shared" si="14"/>
        <v>70</v>
      </c>
      <c r="G154" s="598">
        <f t="shared" si="15"/>
        <v>2019290</v>
      </c>
      <c r="H154" s="599"/>
    </row>
    <row r="155" spans="2:8" ht="15.6" x14ac:dyDescent="0.3">
      <c r="B155" s="471" t="s">
        <v>112</v>
      </c>
      <c r="C155" s="472"/>
      <c r="D155" s="469">
        <f t="shared" si="13"/>
        <v>25030</v>
      </c>
      <c r="E155" s="470"/>
      <c r="F155" s="94">
        <f t="shared" si="14"/>
        <v>70</v>
      </c>
      <c r="G155" s="598">
        <f t="shared" si="15"/>
        <v>1752100</v>
      </c>
      <c r="H155" s="599"/>
    </row>
    <row r="156" spans="2:8" ht="15.6" x14ac:dyDescent="0.3">
      <c r="B156" s="471" t="s">
        <v>15</v>
      </c>
      <c r="C156" s="472"/>
      <c r="D156" s="469">
        <f t="shared" si="13"/>
        <v>15973</v>
      </c>
      <c r="E156" s="470"/>
      <c r="F156" s="94">
        <f t="shared" si="14"/>
        <v>70</v>
      </c>
      <c r="G156" s="598">
        <f t="shared" si="15"/>
        <v>1118110</v>
      </c>
      <c r="H156" s="599"/>
    </row>
    <row r="157" spans="2:8" ht="15.6" x14ac:dyDescent="0.3">
      <c r="B157" s="471" t="s">
        <v>16</v>
      </c>
      <c r="C157" s="472"/>
      <c r="D157" s="469">
        <f t="shared" si="13"/>
        <v>20217</v>
      </c>
      <c r="E157" s="470"/>
      <c r="F157" s="94">
        <f t="shared" si="14"/>
        <v>70</v>
      </c>
      <c r="G157" s="598">
        <f t="shared" si="15"/>
        <v>1415190</v>
      </c>
      <c r="H157" s="599"/>
    </row>
    <row r="158" spans="2:8" ht="15.6" x14ac:dyDescent="0.3">
      <c r="B158" s="471" t="s">
        <v>17</v>
      </c>
      <c r="C158" s="472"/>
      <c r="D158" s="469">
        <f t="shared" si="13"/>
        <v>37335</v>
      </c>
      <c r="E158" s="470"/>
      <c r="F158" s="94">
        <f t="shared" si="14"/>
        <v>70</v>
      </c>
      <c r="G158" s="598">
        <f t="shared" si="15"/>
        <v>2613450</v>
      </c>
      <c r="H158" s="599"/>
    </row>
    <row r="159" spans="2:8" ht="15.6" x14ac:dyDescent="0.3">
      <c r="B159" s="471" t="s">
        <v>18</v>
      </c>
      <c r="C159" s="472"/>
      <c r="D159" s="469">
        <f t="shared" si="13"/>
        <v>18703</v>
      </c>
      <c r="E159" s="470"/>
      <c r="F159" s="94">
        <f t="shared" si="14"/>
        <v>70</v>
      </c>
      <c r="G159" s="598">
        <f t="shared" si="15"/>
        <v>1309210</v>
      </c>
      <c r="H159" s="599"/>
    </row>
    <row r="160" spans="2:8" ht="15.6" x14ac:dyDescent="0.3">
      <c r="B160" s="471" t="s">
        <v>19</v>
      </c>
      <c r="C160" s="472"/>
      <c r="D160" s="469">
        <f t="shared" si="13"/>
        <v>18953</v>
      </c>
      <c r="E160" s="470"/>
      <c r="F160" s="94">
        <f t="shared" si="14"/>
        <v>70</v>
      </c>
      <c r="G160" s="598">
        <f t="shared" si="15"/>
        <v>1326710</v>
      </c>
      <c r="H160" s="599"/>
    </row>
    <row r="161" spans="2:8" ht="15.6" x14ac:dyDescent="0.3">
      <c r="B161" s="471" t="s">
        <v>20</v>
      </c>
      <c r="C161" s="472"/>
      <c r="D161" s="469">
        <f t="shared" si="13"/>
        <v>13962</v>
      </c>
      <c r="E161" s="470"/>
      <c r="F161" s="94">
        <f t="shared" si="14"/>
        <v>70</v>
      </c>
      <c r="G161" s="598">
        <f t="shared" si="15"/>
        <v>977340</v>
      </c>
      <c r="H161" s="599"/>
    </row>
    <row r="162" spans="2:8" ht="15.6" x14ac:dyDescent="0.3">
      <c r="B162" s="471" t="s">
        <v>113</v>
      </c>
      <c r="C162" s="472"/>
      <c r="D162" s="469">
        <f t="shared" si="13"/>
        <v>33436</v>
      </c>
      <c r="E162" s="470"/>
      <c r="F162" s="94">
        <f t="shared" si="14"/>
        <v>70</v>
      </c>
      <c r="G162" s="598">
        <f t="shared" si="15"/>
        <v>2340520</v>
      </c>
      <c r="H162" s="599"/>
    </row>
    <row r="163" spans="2:8" ht="15.6" x14ac:dyDescent="0.3">
      <c r="B163" s="471" t="s">
        <v>21</v>
      </c>
      <c r="C163" s="472"/>
      <c r="D163" s="469">
        <f t="shared" si="13"/>
        <v>13895</v>
      </c>
      <c r="E163" s="470"/>
      <c r="F163" s="94">
        <f t="shared" si="14"/>
        <v>70</v>
      </c>
      <c r="G163" s="598">
        <f t="shared" si="15"/>
        <v>972650</v>
      </c>
      <c r="H163" s="599"/>
    </row>
    <row r="164" spans="2:8" ht="15.6" x14ac:dyDescent="0.3">
      <c r="B164" s="471" t="s">
        <v>22</v>
      </c>
      <c r="C164" s="472"/>
      <c r="D164" s="469">
        <f t="shared" si="13"/>
        <v>20692</v>
      </c>
      <c r="E164" s="470"/>
      <c r="F164" s="94">
        <f t="shared" si="14"/>
        <v>70</v>
      </c>
      <c r="G164" s="598">
        <f t="shared" si="15"/>
        <v>1448440</v>
      </c>
      <c r="H164" s="599"/>
    </row>
    <row r="165" spans="2:8" ht="15.6" x14ac:dyDescent="0.3">
      <c r="B165" s="471" t="s">
        <v>24</v>
      </c>
      <c r="C165" s="472"/>
      <c r="D165" s="469">
        <f t="shared" ref="D165:D186" si="16">+L68</f>
        <v>15709</v>
      </c>
      <c r="E165" s="470"/>
      <c r="F165" s="94">
        <f t="shared" si="14"/>
        <v>70</v>
      </c>
      <c r="G165" s="598">
        <f t="shared" si="15"/>
        <v>1099630</v>
      </c>
      <c r="H165" s="599"/>
    </row>
    <row r="166" spans="2:8" ht="15.6" x14ac:dyDescent="0.3">
      <c r="B166" s="471" t="s">
        <v>25</v>
      </c>
      <c r="C166" s="472"/>
      <c r="D166" s="469">
        <f t="shared" si="16"/>
        <v>55306</v>
      </c>
      <c r="E166" s="470"/>
      <c r="F166" s="94">
        <f t="shared" si="14"/>
        <v>70</v>
      </c>
      <c r="G166" s="598">
        <f t="shared" si="15"/>
        <v>3871420</v>
      </c>
      <c r="H166" s="599"/>
    </row>
    <row r="167" spans="2:8" ht="15.6" x14ac:dyDescent="0.3">
      <c r="B167" s="471" t="s">
        <v>114</v>
      </c>
      <c r="C167" s="472"/>
      <c r="D167" s="469">
        <f t="shared" si="16"/>
        <v>43895</v>
      </c>
      <c r="E167" s="470"/>
      <c r="F167" s="94">
        <f t="shared" si="14"/>
        <v>70</v>
      </c>
      <c r="G167" s="598">
        <f t="shared" si="15"/>
        <v>3072650</v>
      </c>
      <c r="H167" s="599"/>
    </row>
    <row r="168" spans="2:8" ht="15.6" x14ac:dyDescent="0.3">
      <c r="B168" s="471" t="s">
        <v>115</v>
      </c>
      <c r="C168" s="472"/>
      <c r="D168" s="469">
        <f t="shared" si="16"/>
        <v>37067</v>
      </c>
      <c r="E168" s="470"/>
      <c r="F168" s="94">
        <f t="shared" si="14"/>
        <v>70</v>
      </c>
      <c r="G168" s="598">
        <f t="shared" si="15"/>
        <v>2594690</v>
      </c>
      <c r="H168" s="599"/>
    </row>
    <row r="169" spans="2:8" ht="15.6" x14ac:dyDescent="0.3">
      <c r="B169" s="471" t="s">
        <v>70</v>
      </c>
      <c r="C169" s="472"/>
      <c r="D169" s="469">
        <f t="shared" si="16"/>
        <v>37958</v>
      </c>
      <c r="E169" s="470"/>
      <c r="F169" s="94">
        <f t="shared" si="14"/>
        <v>70</v>
      </c>
      <c r="G169" s="598">
        <f t="shared" si="15"/>
        <v>2657060</v>
      </c>
      <c r="H169" s="599"/>
    </row>
    <row r="170" spans="2:8" ht="15.6" x14ac:dyDescent="0.3">
      <c r="B170" s="471" t="s">
        <v>116</v>
      </c>
      <c r="C170" s="472"/>
      <c r="D170" s="469">
        <f t="shared" si="16"/>
        <v>26614</v>
      </c>
      <c r="E170" s="470"/>
      <c r="F170" s="94">
        <f t="shared" si="14"/>
        <v>70</v>
      </c>
      <c r="G170" s="598">
        <f t="shared" si="15"/>
        <v>1862980</v>
      </c>
      <c r="H170" s="599"/>
    </row>
    <row r="171" spans="2:8" ht="15.6" x14ac:dyDescent="0.3">
      <c r="B171" s="471" t="s">
        <v>117</v>
      </c>
      <c r="C171" s="472"/>
      <c r="D171" s="469">
        <f t="shared" si="16"/>
        <v>26844</v>
      </c>
      <c r="E171" s="470"/>
      <c r="F171" s="94">
        <f t="shared" si="14"/>
        <v>70</v>
      </c>
      <c r="G171" s="598">
        <f t="shared" si="15"/>
        <v>1879080</v>
      </c>
      <c r="H171" s="599"/>
    </row>
    <row r="172" spans="2:8" ht="15.6" x14ac:dyDescent="0.3">
      <c r="B172" s="467" t="s">
        <v>101</v>
      </c>
      <c r="C172" s="468"/>
      <c r="D172" s="469">
        <f t="shared" si="16"/>
        <v>17705</v>
      </c>
      <c r="E172" s="470"/>
      <c r="F172" s="94">
        <f t="shared" si="14"/>
        <v>70</v>
      </c>
      <c r="G172" s="598">
        <f t="shared" si="15"/>
        <v>1239350</v>
      </c>
      <c r="H172" s="599"/>
    </row>
    <row r="173" spans="2:8" ht="15.6" x14ac:dyDescent="0.3">
      <c r="B173" s="467" t="s">
        <v>203</v>
      </c>
      <c r="C173" s="468"/>
      <c r="D173" s="469">
        <f t="shared" si="16"/>
        <v>80310</v>
      </c>
      <c r="E173" s="470"/>
      <c r="F173" s="94">
        <f t="shared" si="14"/>
        <v>70</v>
      </c>
      <c r="G173" s="598">
        <f t="shared" si="15"/>
        <v>5621700</v>
      </c>
      <c r="H173" s="599"/>
    </row>
    <row r="174" spans="2:8" ht="15.6" x14ac:dyDescent="0.3">
      <c r="B174" s="471" t="s">
        <v>118</v>
      </c>
      <c r="C174" s="472"/>
      <c r="D174" s="469">
        <f t="shared" si="16"/>
        <v>20430</v>
      </c>
      <c r="E174" s="470"/>
      <c r="F174" s="94">
        <f t="shared" si="14"/>
        <v>70</v>
      </c>
      <c r="G174" s="598">
        <f t="shared" si="15"/>
        <v>1430100</v>
      </c>
      <c r="H174" s="599"/>
    </row>
    <row r="175" spans="2:8" ht="15.6" x14ac:dyDescent="0.3">
      <c r="B175" s="471" t="s">
        <v>206</v>
      </c>
      <c r="C175" s="472"/>
      <c r="D175" s="469">
        <f t="shared" si="16"/>
        <v>7765</v>
      </c>
      <c r="E175" s="470"/>
      <c r="F175" s="94">
        <f t="shared" si="14"/>
        <v>70</v>
      </c>
      <c r="G175" s="598">
        <f t="shared" si="15"/>
        <v>543550</v>
      </c>
      <c r="H175" s="599"/>
    </row>
    <row r="176" spans="2:8" ht="15.6" x14ac:dyDescent="0.3">
      <c r="B176" s="471" t="s">
        <v>100</v>
      </c>
      <c r="C176" s="472"/>
      <c r="D176" s="469">
        <f t="shared" si="16"/>
        <v>36055</v>
      </c>
      <c r="E176" s="470"/>
      <c r="F176" s="94">
        <f t="shared" si="14"/>
        <v>70</v>
      </c>
      <c r="G176" s="598">
        <f>D176*F176</f>
        <v>2523850</v>
      </c>
      <c r="H176" s="599"/>
    </row>
    <row r="177" spans="2:8" ht="15.6" x14ac:dyDescent="0.3">
      <c r="B177" s="467" t="s">
        <v>214</v>
      </c>
      <c r="C177" s="468"/>
      <c r="D177" s="469">
        <f t="shared" si="16"/>
        <v>35949</v>
      </c>
      <c r="E177" s="470"/>
      <c r="F177" s="94">
        <f t="shared" si="14"/>
        <v>70</v>
      </c>
      <c r="G177" s="598">
        <f>D177*F177</f>
        <v>2516430</v>
      </c>
      <c r="H177" s="599"/>
    </row>
    <row r="178" spans="2:8" ht="15.6" x14ac:dyDescent="0.3">
      <c r="B178" s="471" t="s">
        <v>215</v>
      </c>
      <c r="C178" s="472"/>
      <c r="D178" s="469">
        <f t="shared" si="16"/>
        <v>30954</v>
      </c>
      <c r="E178" s="470"/>
      <c r="F178" s="94">
        <f t="shared" si="14"/>
        <v>70</v>
      </c>
      <c r="G178" s="598">
        <f t="shared" ref="G178:G186" si="17">D178*F178</f>
        <v>2166780</v>
      </c>
      <c r="H178" s="599"/>
    </row>
    <row r="179" spans="2:8" ht="15.6" x14ac:dyDescent="0.3">
      <c r="B179" s="467" t="s">
        <v>229</v>
      </c>
      <c r="C179" s="468"/>
      <c r="D179" s="469">
        <f t="shared" si="16"/>
        <v>19053</v>
      </c>
      <c r="E179" s="470"/>
      <c r="F179" s="94">
        <f t="shared" si="14"/>
        <v>70</v>
      </c>
      <c r="G179" s="598">
        <f t="shared" si="17"/>
        <v>1333710</v>
      </c>
      <c r="H179" s="599"/>
    </row>
    <row r="180" spans="2:8" ht="15.6" x14ac:dyDescent="0.3">
      <c r="B180" s="467" t="s">
        <v>226</v>
      </c>
      <c r="C180" s="468"/>
      <c r="D180" s="469">
        <f t="shared" si="16"/>
        <v>6408</v>
      </c>
      <c r="E180" s="470"/>
      <c r="F180" s="94">
        <f t="shared" si="14"/>
        <v>70</v>
      </c>
      <c r="G180" s="598">
        <f t="shared" si="17"/>
        <v>448560</v>
      </c>
      <c r="H180" s="599"/>
    </row>
    <row r="181" spans="2:8" ht="15.6" x14ac:dyDescent="0.3">
      <c r="B181" s="467" t="s">
        <v>227</v>
      </c>
      <c r="C181" s="468"/>
      <c r="D181" s="469">
        <f t="shared" si="16"/>
        <v>17147</v>
      </c>
      <c r="E181" s="470"/>
      <c r="F181" s="94">
        <f t="shared" si="14"/>
        <v>70</v>
      </c>
      <c r="G181" s="598">
        <f t="shared" si="17"/>
        <v>1200290</v>
      </c>
      <c r="H181" s="599"/>
    </row>
    <row r="182" spans="2:8" ht="15.6" x14ac:dyDescent="0.3">
      <c r="B182" s="471" t="s">
        <v>228</v>
      </c>
      <c r="C182" s="472"/>
      <c r="D182" s="469">
        <f t="shared" si="16"/>
        <v>6345</v>
      </c>
      <c r="E182" s="470"/>
      <c r="F182" s="94">
        <f>+M$19</f>
        <v>70</v>
      </c>
      <c r="G182" s="598">
        <f>D182*F182</f>
        <v>444150</v>
      </c>
      <c r="H182" s="599"/>
    </row>
    <row r="183" spans="2:8" ht="15.6" x14ac:dyDescent="0.3">
      <c r="B183" s="471" t="s">
        <v>237</v>
      </c>
      <c r="C183" s="472"/>
      <c r="D183" s="469">
        <f t="shared" si="16"/>
        <v>42011</v>
      </c>
      <c r="E183" s="470"/>
      <c r="F183" s="94">
        <f>+M$19</f>
        <v>70</v>
      </c>
      <c r="G183" s="598">
        <f>D183*F183</f>
        <v>2940770</v>
      </c>
      <c r="H183" s="599"/>
    </row>
    <row r="184" spans="2:8" ht="15.6" x14ac:dyDescent="0.3">
      <c r="B184" s="471" t="s">
        <v>241</v>
      </c>
      <c r="C184" s="472"/>
      <c r="D184" s="469">
        <f t="shared" si="16"/>
        <v>8882</v>
      </c>
      <c r="E184" s="470"/>
      <c r="F184" s="94">
        <f>+M$19</f>
        <v>70</v>
      </c>
      <c r="G184" s="598">
        <f>D184*F184</f>
        <v>621740</v>
      </c>
      <c r="H184" s="599"/>
    </row>
    <row r="185" spans="2:8" ht="15.6" x14ac:dyDescent="0.3">
      <c r="B185" s="471" t="s">
        <v>248</v>
      </c>
      <c r="C185" s="472"/>
      <c r="D185" s="469">
        <f t="shared" si="16"/>
        <v>223152</v>
      </c>
      <c r="E185" s="470"/>
      <c r="F185" s="94">
        <f t="shared" ref="F185" si="18">+M$19</f>
        <v>70</v>
      </c>
      <c r="G185" s="598">
        <f t="shared" ref="G185" si="19">D185*F185</f>
        <v>15620640</v>
      </c>
      <c r="H185" s="599"/>
    </row>
    <row r="186" spans="2:8" ht="15.6" x14ac:dyDescent="0.3">
      <c r="B186" s="471" t="s">
        <v>255</v>
      </c>
      <c r="C186" s="472"/>
      <c r="D186" s="469">
        <f t="shared" si="16"/>
        <v>20393</v>
      </c>
      <c r="E186" s="470"/>
      <c r="F186" s="94">
        <f t="shared" si="14"/>
        <v>70</v>
      </c>
      <c r="G186" s="598">
        <f t="shared" si="17"/>
        <v>1427510</v>
      </c>
      <c r="H186" s="599"/>
    </row>
    <row r="187" spans="2:8" customFormat="1" ht="14.4" x14ac:dyDescent="0.3">
      <c r="D187" s="144"/>
      <c r="E187" s="144"/>
    </row>
    <row r="188" spans="2:8" ht="15.6" x14ac:dyDescent="0.3">
      <c r="B188" s="95" t="s">
        <v>119</v>
      </c>
      <c r="C188" s="96"/>
      <c r="D188" s="586">
        <f>SUM(D133:E186)</f>
        <v>2293817</v>
      </c>
      <c r="E188" s="587"/>
      <c r="F188"/>
      <c r="G188" s="588">
        <f>SUM(G133:H186)</f>
        <v>160567190</v>
      </c>
      <c r="H188" s="589"/>
    </row>
    <row r="189" spans="2:8" customFormat="1" ht="14.4" x14ac:dyDescent="0.3"/>
    <row r="190" spans="2:8" ht="15.6" x14ac:dyDescent="0.3">
      <c r="B190" s="590" t="s">
        <v>124</v>
      </c>
      <c r="C190" s="591"/>
      <c r="D190" s="592">
        <f>+D122+D130+D188</f>
        <v>2656525</v>
      </c>
      <c r="E190" s="593"/>
      <c r="F190"/>
      <c r="G190" s="594">
        <f>+G122+G130+G188</f>
        <v>185088735</v>
      </c>
      <c r="H190" s="595"/>
    </row>
    <row r="191" spans="2:8" ht="14.4" x14ac:dyDescent="0.3">
      <c r="B191" s="12"/>
      <c r="C191" s="12"/>
      <c r="D191" s="12"/>
      <c r="E191" s="12"/>
    </row>
    <row r="192" spans="2:8" ht="14.4" x14ac:dyDescent="0.3">
      <c r="B192" s="12"/>
      <c r="C192" s="12"/>
      <c r="D192" s="12"/>
      <c r="E192" s="12"/>
    </row>
    <row r="193" spans="2:13" ht="14.4" x14ac:dyDescent="0.3">
      <c r="B193" s="12"/>
      <c r="C193" s="12"/>
      <c r="D193" s="12"/>
      <c r="E193" s="12"/>
    </row>
    <row r="194" spans="2:13" ht="23.4" x14ac:dyDescent="0.45">
      <c r="B194" s="596" t="s">
        <v>125</v>
      </c>
      <c r="C194" s="597"/>
      <c r="D194" s="597"/>
      <c r="E194" s="597"/>
      <c r="F194" s="97"/>
      <c r="G194"/>
      <c r="H194"/>
    </row>
    <row r="195" spans="2:13" ht="15" thickBot="1" x14ac:dyDescent="0.35">
      <c r="B195" s="98"/>
      <c r="C195" s="98"/>
      <c r="D195" s="98"/>
      <c r="E195" s="98"/>
      <c r="F195" s="99"/>
      <c r="G195"/>
      <c r="H195"/>
    </row>
    <row r="196" spans="2:13" ht="29.4" customHeight="1" thickBot="1" x14ac:dyDescent="0.35">
      <c r="B196" s="100" t="s">
        <v>126</v>
      </c>
      <c r="C196" s="101" t="s">
        <v>127</v>
      </c>
      <c r="D196" s="102" t="s">
        <v>128</v>
      </c>
      <c r="E196" s="582" t="s">
        <v>129</v>
      </c>
      <c r="F196" s="583"/>
      <c r="G196"/>
      <c r="H196"/>
    </row>
    <row r="197" spans="2:13" ht="15.6" x14ac:dyDescent="0.3">
      <c r="B197" s="103" t="s">
        <v>130</v>
      </c>
      <c r="C197" s="104">
        <f>+D188</f>
        <v>2293817</v>
      </c>
      <c r="D197" s="105">
        <f>+M$19</f>
        <v>70</v>
      </c>
      <c r="E197" s="584">
        <f>+D197*C197</f>
        <v>160567190</v>
      </c>
      <c r="F197" s="585"/>
      <c r="G197"/>
      <c r="H197"/>
    </row>
    <row r="198" spans="2:13" ht="31.2" x14ac:dyDescent="0.3">
      <c r="B198" s="106" t="s">
        <v>131</v>
      </c>
      <c r="C198" s="107">
        <f>+D130</f>
        <v>0</v>
      </c>
      <c r="D198" s="105">
        <f>+M$19</f>
        <v>70</v>
      </c>
      <c r="E198" s="584">
        <f>+D198*C198</f>
        <v>0</v>
      </c>
      <c r="F198" s="585"/>
      <c r="G198"/>
      <c r="H198"/>
    </row>
    <row r="199" spans="2:13" ht="15.6" x14ac:dyDescent="0.3">
      <c r="B199" s="108"/>
      <c r="C199" s="107"/>
      <c r="D199" s="105"/>
      <c r="E199" s="584"/>
      <c r="F199" s="585"/>
      <c r="G199"/>
      <c r="H199"/>
    </row>
    <row r="200" spans="2:13" ht="15.6" x14ac:dyDescent="0.3">
      <c r="B200" s="109" t="s">
        <v>132</v>
      </c>
      <c r="C200" s="107">
        <f>+D120</f>
        <v>58965</v>
      </c>
      <c r="D200" s="105">
        <f>+E200/C200</f>
        <v>55.279148647502758</v>
      </c>
      <c r="E200" s="584">
        <f>+M23</f>
        <v>3259535</v>
      </c>
      <c r="F200" s="585"/>
      <c r="G200"/>
      <c r="H200"/>
    </row>
    <row r="201" spans="2:13" ht="15.6" x14ac:dyDescent="0.3">
      <c r="B201" s="108" t="s">
        <v>133</v>
      </c>
      <c r="C201" s="107">
        <f>+D119</f>
        <v>303743</v>
      </c>
      <c r="D201" s="105">
        <f>+M$19</f>
        <v>70</v>
      </c>
      <c r="E201" s="584">
        <f>+D201*C201</f>
        <v>21262010</v>
      </c>
      <c r="F201" s="585"/>
      <c r="G201"/>
      <c r="H201"/>
    </row>
    <row r="202" spans="2:13" ht="16.2" thickBot="1" x14ac:dyDescent="0.35">
      <c r="B202" s="110"/>
      <c r="C202" s="111"/>
      <c r="D202" s="112"/>
      <c r="E202" s="572"/>
      <c r="F202" s="573"/>
      <c r="G202"/>
      <c r="H202"/>
    </row>
    <row r="203" spans="2:13" ht="15.6" x14ac:dyDescent="0.3">
      <c r="B203" s="113"/>
      <c r="C203" s="113"/>
      <c r="D203" s="113"/>
      <c r="E203" s="113"/>
      <c r="F203" s="113"/>
      <c r="G203"/>
      <c r="H203"/>
    </row>
    <row r="204" spans="2:13" ht="15.6" x14ac:dyDescent="0.3">
      <c r="B204" s="114" t="s">
        <v>1</v>
      </c>
      <c r="C204" s="519">
        <f>SUM(C197:C203)</f>
        <v>2656525</v>
      </c>
      <c r="D204" s="115">
        <f>+E204/C204</f>
        <v>69.673251710411151</v>
      </c>
      <c r="E204" s="574">
        <f>SUM(E197:E202)</f>
        <v>185088735</v>
      </c>
      <c r="F204" s="575"/>
      <c r="G204"/>
      <c r="H204"/>
    </row>
    <row r="205" spans="2:13" ht="15.6" x14ac:dyDescent="0.3">
      <c r="B205" s="116"/>
      <c r="C205" s="361"/>
      <c r="D205" s="361"/>
      <c r="E205" s="362"/>
      <c r="F205" s="362"/>
      <c r="G205"/>
      <c r="H205"/>
    </row>
    <row r="206" spans="2:13" ht="15.6" x14ac:dyDescent="0.3">
      <c r="B206" s="116"/>
      <c r="C206" s="361"/>
      <c r="D206" s="361"/>
      <c r="E206" s="362"/>
      <c r="F206" s="362"/>
      <c r="G206"/>
      <c r="H206"/>
    </row>
    <row r="207" spans="2:13" ht="21" x14ac:dyDescent="0.3">
      <c r="B207" s="580" t="s">
        <v>201</v>
      </c>
      <c r="C207" s="580"/>
      <c r="D207" s="580"/>
      <c r="E207" s="580"/>
      <c r="F207" s="580"/>
      <c r="G207" s="580"/>
      <c r="H207" s="580"/>
      <c r="I207" s="359"/>
      <c r="J207" s="359"/>
      <c r="K207" s="359"/>
      <c r="L207" s="359"/>
      <c r="M207" s="359"/>
    </row>
    <row r="208" spans="2:13" ht="23.4" x14ac:dyDescent="0.3">
      <c r="B208" s="581" t="s">
        <v>120</v>
      </c>
      <c r="C208" s="581"/>
      <c r="D208" s="581"/>
      <c r="E208" s="581"/>
      <c r="F208" s="581"/>
      <c r="G208" s="581"/>
      <c r="H208" s="581"/>
      <c r="I208" s="360"/>
      <c r="J208" s="360"/>
      <c r="K208" s="360"/>
      <c r="L208" s="360"/>
      <c r="M208" s="360"/>
    </row>
    <row r="209" spans="2:13" ht="23.4" x14ac:dyDescent="0.3">
      <c r="B209" s="358"/>
      <c r="C209" s="358"/>
      <c r="D209" s="358"/>
      <c r="E209" s="358"/>
      <c r="F209" s="358"/>
      <c r="G209" s="358"/>
      <c r="H209" s="358"/>
      <c r="I209" s="360"/>
      <c r="J209" s="360"/>
      <c r="K209" s="360"/>
      <c r="L209" s="360"/>
      <c r="M209" s="360"/>
    </row>
    <row r="210" spans="2:13" ht="15.6" x14ac:dyDescent="0.3">
      <c r="B210" s="116"/>
      <c r="C210" s="117"/>
      <c r="D210" s="118"/>
      <c r="E210" s="117"/>
      <c r="F210" s="113"/>
      <c r="G210"/>
      <c r="H210"/>
    </row>
    <row r="211" spans="2:13" ht="15.6" x14ac:dyDescent="0.3">
      <c r="B211" s="576" t="s">
        <v>134</v>
      </c>
      <c r="C211" s="577"/>
      <c r="D211" s="577"/>
      <c r="E211" s="577"/>
      <c r="F211" s="577"/>
      <c r="G211"/>
      <c r="H211"/>
    </row>
    <row r="212" spans="2:13" ht="16.2" thickBot="1" x14ac:dyDescent="0.35">
      <c r="B212" s="119"/>
      <c r="C212" s="117"/>
      <c r="D212" s="120"/>
      <c r="E212" s="117"/>
      <c r="F212" s="120"/>
      <c r="G212" s="121"/>
      <c r="H212" s="122"/>
    </row>
    <row r="213" spans="2:13" ht="39" customHeight="1" thickBot="1" x14ac:dyDescent="0.35">
      <c r="B213" s="123" t="s">
        <v>126</v>
      </c>
      <c r="C213" s="124" t="s">
        <v>127</v>
      </c>
      <c r="D213" s="125" t="s">
        <v>128</v>
      </c>
      <c r="E213" s="578" t="s">
        <v>129</v>
      </c>
      <c r="F213" s="579"/>
      <c r="G213" s="121"/>
      <c r="H213" s="72"/>
    </row>
    <row r="214" spans="2:13" ht="15.6" x14ac:dyDescent="0.3">
      <c r="B214" s="126" t="s">
        <v>57</v>
      </c>
      <c r="C214" s="127"/>
      <c r="D214" s="128"/>
      <c r="E214" s="567">
        <f t="shared" ref="E214:E225" si="20">+D214*C214</f>
        <v>0</v>
      </c>
      <c r="F214" s="568"/>
      <c r="H214" s="72"/>
    </row>
    <row r="215" spans="2:13" ht="31.2" x14ac:dyDescent="0.3">
      <c r="B215" s="129" t="s">
        <v>135</v>
      </c>
      <c r="C215" s="130"/>
      <c r="D215" s="131"/>
      <c r="E215" s="567">
        <f t="shared" si="20"/>
        <v>0</v>
      </c>
      <c r="F215" s="568"/>
      <c r="H215" s="72"/>
    </row>
    <row r="216" spans="2:13" ht="15.6" x14ac:dyDescent="0.3">
      <c r="B216" s="132" t="s">
        <v>136</v>
      </c>
      <c r="C216" s="130"/>
      <c r="D216" s="131"/>
      <c r="E216" s="567">
        <f t="shared" si="20"/>
        <v>0</v>
      </c>
      <c r="F216" s="568"/>
      <c r="H216" s="72"/>
    </row>
    <row r="217" spans="2:13" ht="15.6" x14ac:dyDescent="0.3">
      <c r="B217" s="132" t="s">
        <v>137</v>
      </c>
      <c r="C217" s="130"/>
      <c r="D217" s="131"/>
      <c r="E217" s="567">
        <f t="shared" si="20"/>
        <v>0</v>
      </c>
      <c r="F217" s="568"/>
      <c r="H217" s="72"/>
    </row>
    <row r="218" spans="2:13" ht="15.6" x14ac:dyDescent="0.3">
      <c r="B218" s="132" t="s">
        <v>138</v>
      </c>
      <c r="C218" s="130"/>
      <c r="D218" s="131"/>
      <c r="E218" s="567">
        <f t="shared" si="20"/>
        <v>0</v>
      </c>
      <c r="F218" s="568"/>
      <c r="H218" s="72"/>
    </row>
    <row r="219" spans="2:13" ht="15.6" x14ac:dyDescent="0.3">
      <c r="B219" s="132" t="s">
        <v>139</v>
      </c>
      <c r="C219" s="130"/>
      <c r="D219" s="131"/>
      <c r="E219" s="567">
        <f t="shared" si="20"/>
        <v>0</v>
      </c>
      <c r="F219" s="568"/>
      <c r="H219" s="72"/>
    </row>
    <row r="220" spans="2:13" ht="15.6" x14ac:dyDescent="0.3">
      <c r="B220" s="132" t="s">
        <v>140</v>
      </c>
      <c r="C220" s="130"/>
      <c r="D220" s="131"/>
      <c r="E220" s="567">
        <f t="shared" si="20"/>
        <v>0</v>
      </c>
      <c r="F220" s="568"/>
      <c r="H220" s="72"/>
    </row>
    <row r="221" spans="2:13" ht="15.6" x14ac:dyDescent="0.3">
      <c r="B221" s="132" t="s">
        <v>141</v>
      </c>
      <c r="C221" s="130"/>
      <c r="D221" s="131"/>
      <c r="E221" s="567">
        <f t="shared" si="20"/>
        <v>0</v>
      </c>
      <c r="F221" s="568"/>
      <c r="H221" s="72"/>
    </row>
    <row r="222" spans="2:13" ht="15.6" x14ac:dyDescent="0.3">
      <c r="B222" s="106" t="s">
        <v>142</v>
      </c>
      <c r="C222" s="130"/>
      <c r="D222" s="131"/>
      <c r="E222" s="567">
        <f t="shared" si="20"/>
        <v>0</v>
      </c>
      <c r="F222" s="568"/>
      <c r="H222" s="72"/>
    </row>
    <row r="223" spans="2:13" ht="15.6" x14ac:dyDescent="0.3">
      <c r="B223" s="132" t="s">
        <v>143</v>
      </c>
      <c r="C223" s="130"/>
      <c r="D223" s="131"/>
      <c r="E223" s="567">
        <f t="shared" si="20"/>
        <v>0</v>
      </c>
      <c r="F223" s="568"/>
      <c r="H223" s="72"/>
    </row>
    <row r="224" spans="2:13" ht="15.6" x14ac:dyDescent="0.3">
      <c r="B224" s="132" t="s">
        <v>144</v>
      </c>
      <c r="C224" s="130"/>
      <c r="D224" s="131"/>
      <c r="E224" s="567">
        <f t="shared" si="20"/>
        <v>0</v>
      </c>
      <c r="F224" s="568"/>
      <c r="H224" s="72"/>
    </row>
    <row r="225" spans="2:12" ht="15.6" x14ac:dyDescent="0.3">
      <c r="B225" s="132" t="s">
        <v>145</v>
      </c>
      <c r="C225" s="130"/>
      <c r="D225" s="131"/>
      <c r="E225" s="567">
        <f t="shared" si="20"/>
        <v>0</v>
      </c>
      <c r="F225" s="568"/>
      <c r="H225" s="72"/>
    </row>
    <row r="226" spans="2:12" ht="15.6" x14ac:dyDescent="0.3">
      <c r="B226" s="133"/>
      <c r="C226" s="86"/>
      <c r="D226" s="86"/>
      <c r="E226" s="86"/>
      <c r="F226" s="86"/>
      <c r="H226" s="72"/>
    </row>
    <row r="227" spans="2:12" ht="15.6" x14ac:dyDescent="0.3">
      <c r="B227" s="114" t="s">
        <v>1</v>
      </c>
      <c r="C227" s="134">
        <f>SUM(C220:C226)</f>
        <v>0</v>
      </c>
      <c r="D227" s="134"/>
      <c r="E227" s="569">
        <f>SUM(E214:F225)</f>
        <v>0</v>
      </c>
      <c r="F227" s="570"/>
      <c r="H227" s="72"/>
      <c r="I227" s="72"/>
      <c r="J227" s="72"/>
      <c r="K227" s="72"/>
      <c r="L227" s="72"/>
    </row>
    <row r="228" spans="2:12" x14ac:dyDescent="0.3">
      <c r="C228" s="72"/>
      <c r="D228" s="72"/>
      <c r="E228" s="72"/>
      <c r="H228" s="72"/>
      <c r="I228" s="72"/>
      <c r="J228" s="72"/>
      <c r="K228" s="72"/>
      <c r="L228" s="72"/>
    </row>
    <row r="229" spans="2:12" x14ac:dyDescent="0.3">
      <c r="C229" s="72"/>
      <c r="D229" s="72"/>
      <c r="E229" s="72"/>
      <c r="H229" s="72"/>
      <c r="I229" s="72"/>
      <c r="J229" s="72"/>
      <c r="K229" s="72"/>
      <c r="L229" s="72"/>
    </row>
    <row r="230" spans="2:12" x14ac:dyDescent="0.3">
      <c r="C230" s="72"/>
      <c r="D230" s="72"/>
      <c r="E230" s="72"/>
      <c r="H230" s="72"/>
      <c r="I230" s="72"/>
      <c r="J230" s="72"/>
      <c r="K230" s="72"/>
      <c r="L230" s="72"/>
    </row>
    <row r="231" spans="2:12" x14ac:dyDescent="0.3">
      <c r="C231" s="72"/>
      <c r="D231" s="72"/>
      <c r="E231" s="72"/>
      <c r="H231" s="72"/>
      <c r="I231" s="72"/>
      <c r="J231" s="72"/>
      <c r="K231" s="72"/>
      <c r="L231" s="72"/>
    </row>
    <row r="232" spans="2:12" x14ac:dyDescent="0.3">
      <c r="C232" s="72"/>
      <c r="D232" s="72"/>
      <c r="E232" s="72"/>
      <c r="H232" s="72"/>
      <c r="I232" s="72"/>
      <c r="J232" s="72"/>
      <c r="K232" s="72"/>
      <c r="L232" s="72"/>
    </row>
    <row r="233" spans="2:12" x14ac:dyDescent="0.3">
      <c r="C233" s="72"/>
      <c r="D233" s="72"/>
      <c r="E233" s="72"/>
      <c r="H233" s="72"/>
      <c r="I233" s="72"/>
      <c r="J233" s="72"/>
      <c r="K233" s="72"/>
      <c r="L233" s="72"/>
    </row>
    <row r="234" spans="2:12" x14ac:dyDescent="0.3">
      <c r="C234" s="72"/>
      <c r="D234" s="72"/>
      <c r="E234" s="72"/>
      <c r="H234" s="72"/>
      <c r="I234" s="72"/>
      <c r="J234" s="72"/>
      <c r="K234" s="72"/>
      <c r="L234" s="72"/>
    </row>
    <row r="235" spans="2:12" x14ac:dyDescent="0.3">
      <c r="C235" s="72"/>
      <c r="D235" s="72"/>
      <c r="E235" s="72"/>
      <c r="H235" s="72"/>
      <c r="I235" s="72"/>
      <c r="J235" s="72"/>
      <c r="K235" s="72"/>
      <c r="L235" s="72"/>
    </row>
    <row r="236" spans="2:12" x14ac:dyDescent="0.3">
      <c r="C236" s="72"/>
      <c r="D236" s="72"/>
      <c r="E236" s="72"/>
      <c r="H236" s="72"/>
      <c r="I236" s="72"/>
      <c r="J236" s="72"/>
      <c r="K236" s="72"/>
      <c r="L236" s="72"/>
    </row>
    <row r="237" spans="2:12" x14ac:dyDescent="0.3">
      <c r="C237" s="72"/>
      <c r="D237" s="72"/>
      <c r="E237" s="72"/>
      <c r="H237" s="72"/>
      <c r="I237" s="72"/>
      <c r="J237" s="72"/>
      <c r="K237" s="72"/>
      <c r="L237" s="72"/>
    </row>
    <row r="238" spans="2:12" x14ac:dyDescent="0.3">
      <c r="C238" s="72"/>
      <c r="D238" s="72"/>
      <c r="E238" s="72"/>
      <c r="H238" s="72"/>
      <c r="I238" s="72"/>
      <c r="J238" s="72"/>
      <c r="K238" s="72"/>
      <c r="L238" s="72"/>
    </row>
    <row r="239" spans="2:12" x14ac:dyDescent="0.3">
      <c r="C239" s="72"/>
      <c r="D239" s="72"/>
      <c r="E239" s="72"/>
      <c r="H239" s="72"/>
      <c r="I239" s="72"/>
      <c r="J239" s="72"/>
      <c r="K239" s="72"/>
      <c r="L239" s="72"/>
    </row>
    <row r="240" spans="2:12" x14ac:dyDescent="0.3">
      <c r="C240" s="72"/>
      <c r="D240" s="72"/>
      <c r="E240" s="72"/>
      <c r="H240" s="72"/>
      <c r="I240" s="72"/>
      <c r="J240" s="72"/>
      <c r="K240" s="72"/>
      <c r="L240" s="72"/>
    </row>
    <row r="241" spans="3:12" x14ac:dyDescent="0.3">
      <c r="C241" s="72"/>
      <c r="D241" s="72"/>
      <c r="E241" s="72"/>
      <c r="H241" s="72"/>
      <c r="I241" s="72"/>
      <c r="J241" s="72"/>
      <c r="K241" s="72"/>
      <c r="L241" s="72"/>
    </row>
    <row r="242" spans="3:12" x14ac:dyDescent="0.3">
      <c r="C242" s="72"/>
      <c r="D242" s="72"/>
      <c r="E242" s="72"/>
      <c r="H242" s="72"/>
      <c r="I242" s="72"/>
      <c r="J242" s="72"/>
      <c r="K242" s="72"/>
      <c r="L242" s="72"/>
    </row>
    <row r="243" spans="3:12" x14ac:dyDescent="0.3">
      <c r="C243" s="72"/>
      <c r="D243" s="72"/>
      <c r="E243" s="72"/>
      <c r="H243" s="72"/>
      <c r="I243" s="72"/>
      <c r="J243" s="72"/>
      <c r="K243" s="72"/>
      <c r="L243" s="72"/>
    </row>
    <row r="244" spans="3:12" x14ac:dyDescent="0.3">
      <c r="C244" s="72"/>
      <c r="D244" s="72"/>
      <c r="E244" s="72"/>
      <c r="H244" s="72"/>
      <c r="I244" s="72"/>
      <c r="J244" s="72"/>
      <c r="K244" s="72"/>
      <c r="L244" s="72"/>
    </row>
    <row r="245" spans="3:12" x14ac:dyDescent="0.3">
      <c r="C245" s="72"/>
      <c r="D245" s="72"/>
      <c r="E245" s="72"/>
      <c r="H245" s="72"/>
      <c r="I245" s="72"/>
      <c r="J245" s="72"/>
      <c r="K245" s="72"/>
      <c r="L245" s="72"/>
    </row>
    <row r="246" spans="3:12" x14ac:dyDescent="0.3">
      <c r="C246" s="72"/>
      <c r="D246" s="72"/>
      <c r="E246" s="72"/>
      <c r="H246" s="72"/>
      <c r="I246" s="72"/>
      <c r="J246" s="72"/>
      <c r="K246" s="72"/>
      <c r="L246" s="72"/>
    </row>
    <row r="247" spans="3:12" x14ac:dyDescent="0.3">
      <c r="C247" s="72"/>
      <c r="D247" s="72"/>
      <c r="E247" s="72"/>
      <c r="H247" s="72"/>
      <c r="I247" s="72"/>
      <c r="J247" s="72"/>
      <c r="K247" s="72"/>
      <c r="L247" s="72"/>
    </row>
    <row r="248" spans="3:12" x14ac:dyDescent="0.3">
      <c r="C248" s="72"/>
      <c r="D248" s="72"/>
      <c r="E248" s="72"/>
      <c r="H248" s="72"/>
      <c r="I248" s="72"/>
      <c r="J248" s="72"/>
      <c r="K248" s="72"/>
      <c r="L248" s="72"/>
    </row>
    <row r="249" spans="3:12" x14ac:dyDescent="0.3">
      <c r="C249" s="72"/>
      <c r="D249" s="72"/>
      <c r="E249" s="72"/>
      <c r="H249" s="72"/>
      <c r="I249" s="72"/>
      <c r="J249" s="72"/>
      <c r="K249" s="72"/>
      <c r="L249" s="72"/>
    </row>
    <row r="250" spans="3:12" x14ac:dyDescent="0.3">
      <c r="C250" s="72"/>
      <c r="D250" s="72"/>
      <c r="E250" s="72"/>
      <c r="H250" s="72"/>
      <c r="I250" s="72"/>
      <c r="J250" s="72"/>
      <c r="K250" s="72"/>
      <c r="L250" s="72"/>
    </row>
    <row r="251" spans="3:12" x14ac:dyDescent="0.3">
      <c r="C251" s="72"/>
      <c r="D251" s="72"/>
      <c r="E251" s="72"/>
      <c r="H251" s="72"/>
      <c r="I251" s="72"/>
      <c r="J251" s="72"/>
      <c r="K251" s="72"/>
      <c r="L251" s="72"/>
    </row>
    <row r="252" spans="3:12" x14ac:dyDescent="0.3">
      <c r="C252" s="72"/>
      <c r="D252" s="72"/>
      <c r="E252" s="72"/>
      <c r="H252" s="72"/>
      <c r="I252" s="72"/>
      <c r="J252" s="72"/>
      <c r="K252" s="72"/>
      <c r="L252" s="72"/>
    </row>
    <row r="253" spans="3:12" x14ac:dyDescent="0.3">
      <c r="C253" s="72"/>
      <c r="D253" s="72"/>
      <c r="E253" s="72"/>
      <c r="H253" s="72"/>
      <c r="I253" s="72"/>
      <c r="J253" s="72"/>
      <c r="K253" s="72"/>
      <c r="L253" s="72"/>
    </row>
    <row r="254" spans="3:12" x14ac:dyDescent="0.3">
      <c r="C254" s="72"/>
      <c r="D254" s="72"/>
      <c r="E254" s="72"/>
      <c r="H254" s="72"/>
      <c r="I254" s="72"/>
      <c r="J254" s="72"/>
      <c r="K254" s="72"/>
      <c r="L254" s="72"/>
    </row>
    <row r="255" spans="3:12" x14ac:dyDescent="0.3">
      <c r="C255" s="72"/>
      <c r="D255" s="72"/>
      <c r="E255" s="72"/>
      <c r="H255" s="72"/>
      <c r="I255" s="72"/>
      <c r="J255" s="72"/>
      <c r="K255" s="72"/>
      <c r="L255" s="72"/>
    </row>
    <row r="256" spans="3:12" x14ac:dyDescent="0.3">
      <c r="C256" s="72"/>
      <c r="D256" s="72"/>
      <c r="E256" s="72"/>
      <c r="H256" s="72"/>
      <c r="I256" s="72"/>
      <c r="J256" s="72"/>
      <c r="K256" s="72"/>
      <c r="L256" s="72"/>
    </row>
    <row r="257" spans="2:14" x14ac:dyDescent="0.3">
      <c r="C257" s="72"/>
      <c r="D257" s="72"/>
      <c r="E257" s="72"/>
      <c r="H257" s="72"/>
      <c r="I257" s="72"/>
      <c r="J257" s="72"/>
      <c r="K257" s="72"/>
      <c r="L257" s="72"/>
    </row>
    <row r="258" spans="2:14" x14ac:dyDescent="0.3">
      <c r="C258" s="72"/>
      <c r="D258" s="72"/>
      <c r="E258" s="72"/>
      <c r="H258" s="72"/>
      <c r="I258" s="72"/>
      <c r="J258" s="72"/>
      <c r="K258" s="72"/>
      <c r="L258" s="72"/>
    </row>
    <row r="259" spans="2:14" x14ac:dyDescent="0.3">
      <c r="C259" s="72"/>
      <c r="D259" s="72"/>
      <c r="E259" s="72"/>
      <c r="H259" s="72"/>
      <c r="I259" s="72"/>
      <c r="J259" s="72"/>
      <c r="K259" s="72"/>
      <c r="L259" s="72"/>
    </row>
    <row r="260" spans="2:14" x14ac:dyDescent="0.3">
      <c r="C260" s="72"/>
      <c r="D260" s="72"/>
      <c r="E260" s="72"/>
      <c r="H260" s="72"/>
      <c r="I260" s="72"/>
      <c r="J260" s="72"/>
      <c r="K260" s="72"/>
      <c r="L260" s="72"/>
    </row>
    <row r="261" spans="2:14" x14ac:dyDescent="0.3">
      <c r="C261" s="72"/>
      <c r="D261" s="72"/>
      <c r="E261" s="72"/>
      <c r="H261" s="72"/>
      <c r="I261" s="72"/>
      <c r="J261" s="72"/>
      <c r="K261" s="72"/>
      <c r="L261" s="72"/>
    </row>
    <row r="262" spans="2:14" x14ac:dyDescent="0.3">
      <c r="C262" s="72"/>
      <c r="D262" s="72"/>
      <c r="E262" s="72"/>
      <c r="H262" s="72"/>
      <c r="I262" s="72"/>
      <c r="J262" s="72"/>
      <c r="K262" s="72"/>
      <c r="L262" s="72"/>
    </row>
    <row r="263" spans="2:14" x14ac:dyDescent="0.3">
      <c r="C263" s="72"/>
      <c r="D263" s="72"/>
      <c r="E263" s="72"/>
      <c r="H263" s="72"/>
      <c r="I263" s="72"/>
      <c r="J263" s="72"/>
      <c r="K263" s="72"/>
      <c r="L263" s="72"/>
    </row>
    <row r="264" spans="2:14" x14ac:dyDescent="0.3">
      <c r="C264" s="72"/>
      <c r="D264" s="72"/>
      <c r="E264" s="72"/>
      <c r="H264" s="72"/>
      <c r="I264" s="72"/>
      <c r="J264" s="72"/>
      <c r="K264" s="72"/>
      <c r="L264" s="72"/>
    </row>
    <row r="265" spans="2:14" x14ac:dyDescent="0.3">
      <c r="C265" s="72"/>
      <c r="D265" s="72"/>
      <c r="E265" s="72"/>
      <c r="H265" s="72"/>
      <c r="I265" s="72"/>
      <c r="J265" s="72"/>
      <c r="K265" s="72"/>
      <c r="L265" s="72"/>
    </row>
    <row r="266" spans="2:14" x14ac:dyDescent="0.3">
      <c r="C266" s="72"/>
      <c r="D266" s="72"/>
      <c r="E266" s="72"/>
      <c r="H266" s="72"/>
      <c r="I266" s="72"/>
      <c r="J266" s="72"/>
      <c r="K266" s="72"/>
      <c r="L266" s="72"/>
    </row>
    <row r="267" spans="2:14" x14ac:dyDescent="0.3">
      <c r="C267" s="72"/>
      <c r="D267" s="72"/>
      <c r="E267" s="72"/>
      <c r="H267" s="72"/>
      <c r="I267" s="72"/>
      <c r="J267" s="72"/>
      <c r="K267" s="72"/>
      <c r="L267" s="72"/>
    </row>
    <row r="268" spans="2:14" x14ac:dyDescent="0.3">
      <c r="C268" s="72"/>
      <c r="D268" s="72"/>
      <c r="E268" s="72"/>
      <c r="I268" s="141"/>
      <c r="J268" s="142"/>
      <c r="K268" s="142"/>
      <c r="L268" s="142"/>
      <c r="M268" s="142"/>
      <c r="N268" s="142"/>
    </row>
    <row r="269" spans="2:14" ht="14.4" x14ac:dyDescent="0.3">
      <c r="C269" s="12"/>
      <c r="D269" s="12"/>
      <c r="E269" s="12"/>
    </row>
    <row r="270" spans="2:14" ht="14.4" x14ac:dyDescent="0.3">
      <c r="B270"/>
      <c r="C270"/>
      <c r="D270"/>
      <c r="E270" s="135"/>
      <c r="F270"/>
    </row>
    <row r="271" spans="2:14" x14ac:dyDescent="0.3">
      <c r="C271" s="72"/>
      <c r="D271" s="72"/>
      <c r="E271" s="72"/>
      <c r="F271" s="72"/>
    </row>
    <row r="272" spans="2:14" x14ac:dyDescent="0.3">
      <c r="C272" s="72"/>
      <c r="D272" s="72"/>
      <c r="E272" s="72"/>
      <c r="F272" s="72"/>
      <c r="G272" s="72"/>
      <c r="H272" s="72"/>
      <c r="I272" s="72"/>
      <c r="J272" s="72"/>
      <c r="K272" s="72"/>
    </row>
    <row r="273" spans="2:13" ht="15" customHeight="1" x14ac:dyDescent="0.3">
      <c r="C273" s="571" t="s">
        <v>146</v>
      </c>
      <c r="D273" s="571"/>
      <c r="E273" s="571"/>
      <c r="F273" s="571"/>
      <c r="G273" s="571"/>
      <c r="H273" s="571"/>
      <c r="I273" s="571"/>
    </row>
    <row r="274" spans="2:13" ht="15" customHeight="1" x14ac:dyDescent="0.3">
      <c r="C274" s="561" t="s">
        <v>147</v>
      </c>
      <c r="D274" s="561"/>
      <c r="E274" s="561"/>
      <c r="F274" s="561"/>
      <c r="G274" s="561"/>
      <c r="H274" s="561"/>
      <c r="I274" s="561"/>
      <c r="J274" s="72"/>
      <c r="K274" s="72"/>
      <c r="L274" s="72"/>
    </row>
    <row r="275" spans="2:13" ht="15.6" x14ac:dyDescent="0.3">
      <c r="C275" s="562" t="s">
        <v>148</v>
      </c>
      <c r="D275" s="562"/>
      <c r="E275" s="562"/>
      <c r="F275" s="562"/>
      <c r="G275" s="562"/>
      <c r="H275" s="562"/>
      <c r="I275" s="562"/>
    </row>
    <row r="276" spans="2:13" ht="15" customHeight="1" x14ac:dyDescent="0.3">
      <c r="C276" s="561" t="s">
        <v>149</v>
      </c>
      <c r="D276" s="561"/>
      <c r="E276" s="561"/>
      <c r="F276" s="561"/>
      <c r="G276" s="561"/>
      <c r="H276" s="561"/>
      <c r="I276" s="561"/>
      <c r="J276" s="72"/>
      <c r="K276" s="72"/>
      <c r="L276" s="72"/>
    </row>
    <row r="277" spans="2:13" x14ac:dyDescent="0.3">
      <c r="C277" s="72"/>
      <c r="D277" s="72"/>
      <c r="E277" s="72"/>
      <c r="F277" s="72"/>
      <c r="H277" s="72"/>
      <c r="I277" s="72"/>
      <c r="J277" s="72"/>
      <c r="K277" s="72"/>
      <c r="L277" s="72"/>
    </row>
    <row r="278" spans="2:13" ht="15.75" customHeight="1" x14ac:dyDescent="0.3">
      <c r="B278"/>
      <c r="C278" s="563" t="s">
        <v>254</v>
      </c>
      <c r="D278" s="563"/>
      <c r="E278" s="563"/>
      <c r="F278" s="563"/>
      <c r="G278" s="563"/>
      <c r="H278" s="563"/>
      <c r="I278" s="563"/>
      <c r="J278" s="72"/>
      <c r="K278" s="72"/>
      <c r="L278" s="72"/>
    </row>
    <row r="279" spans="2:13" ht="15" thickBot="1" x14ac:dyDescent="0.35">
      <c r="B279"/>
      <c r="C279"/>
      <c r="D279"/>
      <c r="E279"/>
      <c r="F279"/>
    </row>
    <row r="280" spans="2:13" ht="52.8" thickBot="1" x14ac:dyDescent="0.35">
      <c r="C280" s="455" t="s">
        <v>150</v>
      </c>
      <c r="D280" s="564" t="s">
        <v>151</v>
      </c>
      <c r="E280" s="565"/>
      <c r="F280" s="564" t="s">
        <v>152</v>
      </c>
      <c r="G280" s="566"/>
      <c r="H280" s="412" t="s">
        <v>153</v>
      </c>
      <c r="I280" s="367" t="s">
        <v>154</v>
      </c>
    </row>
    <row r="281" spans="2:13" ht="18" x14ac:dyDescent="0.35">
      <c r="C281" s="368">
        <v>1</v>
      </c>
      <c r="D281" s="544" t="s">
        <v>155</v>
      </c>
      <c r="E281" s="545"/>
      <c r="F281" s="559" t="s">
        <v>156</v>
      </c>
      <c r="G281" s="560"/>
      <c r="H281" s="369">
        <f>+D188</f>
        <v>2293817</v>
      </c>
      <c r="I281" s="370">
        <f>+M90</f>
        <v>160567190</v>
      </c>
    </row>
    <row r="282" spans="2:13" ht="18" x14ac:dyDescent="0.35">
      <c r="C282" s="371"/>
      <c r="D282" s="542"/>
      <c r="E282" s="543"/>
      <c r="F282" s="542" t="s">
        <v>157</v>
      </c>
      <c r="G282" s="543"/>
      <c r="H282" s="372">
        <f>+C198</f>
        <v>0</v>
      </c>
      <c r="I282" s="373">
        <f>+E198</f>
        <v>0</v>
      </c>
    </row>
    <row r="283" spans="2:13" ht="18" x14ac:dyDescent="0.35">
      <c r="C283" s="371"/>
      <c r="D283" s="542"/>
      <c r="E283" s="543"/>
      <c r="F283" s="542"/>
      <c r="G283" s="543"/>
      <c r="H283" s="369"/>
      <c r="I283" s="373"/>
    </row>
    <row r="284" spans="2:13" ht="18" x14ac:dyDescent="0.35">
      <c r="C284" s="371">
        <v>2</v>
      </c>
      <c r="D284" s="544" t="s">
        <v>158</v>
      </c>
      <c r="E284" s="545"/>
      <c r="F284" s="542" t="s">
        <v>159</v>
      </c>
      <c r="G284" s="543"/>
      <c r="H284" s="369">
        <f>+C200</f>
        <v>58965</v>
      </c>
      <c r="I284" s="373">
        <f>+E200</f>
        <v>3259535</v>
      </c>
    </row>
    <row r="285" spans="2:13" ht="18" x14ac:dyDescent="0.35">
      <c r="C285" s="371"/>
      <c r="D285" s="555" t="s">
        <v>158</v>
      </c>
      <c r="E285" s="556"/>
      <c r="F285" s="542" t="s">
        <v>160</v>
      </c>
      <c r="G285" s="543"/>
      <c r="H285" s="369">
        <f>+C201</f>
        <v>303743</v>
      </c>
      <c r="I285" s="374">
        <f>+E201</f>
        <v>21262010</v>
      </c>
    </row>
    <row r="286" spans="2:13" ht="18.600000000000001" thickBot="1" x14ac:dyDescent="0.4">
      <c r="C286" s="375"/>
      <c r="D286" s="376"/>
      <c r="E286" s="377"/>
      <c r="F286" s="542"/>
      <c r="G286" s="543"/>
      <c r="H286" s="378"/>
      <c r="I286" s="379"/>
      <c r="M286" s="72" t="s">
        <v>38</v>
      </c>
    </row>
    <row r="287" spans="2:13" ht="45.6" customHeight="1" thickBot="1" x14ac:dyDescent="0.35">
      <c r="C287" s="380"/>
      <c r="D287" s="557" t="s">
        <v>161</v>
      </c>
      <c r="E287" s="558"/>
      <c r="F287" s="557" t="s">
        <v>162</v>
      </c>
      <c r="G287" s="558"/>
      <c r="H287" s="381">
        <f>SUM(H281:H286)</f>
        <v>2656525</v>
      </c>
      <c r="I287" s="382">
        <f>SUM(I281:I286)</f>
        <v>185088735</v>
      </c>
    </row>
    <row r="288" spans="2:13" ht="18" x14ac:dyDescent="0.35">
      <c r="C288" s="383"/>
      <c r="D288" s="542"/>
      <c r="E288" s="543"/>
      <c r="F288" s="542"/>
      <c r="G288" s="543"/>
      <c r="H288" s="378"/>
      <c r="I288" s="384"/>
      <c r="J288"/>
    </row>
    <row r="289" spans="3:9" ht="18" x14ac:dyDescent="0.3">
      <c r="C289" s="371">
        <v>3</v>
      </c>
      <c r="D289" s="544" t="s">
        <v>163</v>
      </c>
      <c r="E289" s="545"/>
      <c r="F289" s="542" t="s">
        <v>164</v>
      </c>
      <c r="G289" s="543"/>
      <c r="H289" s="385">
        <v>1593777.48</v>
      </c>
      <c r="I289" s="386">
        <v>67204283.819999993</v>
      </c>
    </row>
    <row r="290" spans="3:9" ht="18" x14ac:dyDescent="0.3">
      <c r="C290" s="371"/>
      <c r="D290" s="542"/>
      <c r="E290" s="543"/>
      <c r="F290" s="544" t="s">
        <v>165</v>
      </c>
      <c r="G290" s="545"/>
      <c r="H290" s="385"/>
      <c r="I290" s="386"/>
    </row>
    <row r="291" spans="3:9" ht="18" x14ac:dyDescent="0.3">
      <c r="C291" s="371"/>
      <c r="D291" s="542"/>
      <c r="E291" s="543"/>
      <c r="F291" s="544" t="s">
        <v>166</v>
      </c>
      <c r="G291" s="545"/>
      <c r="H291" s="385">
        <v>250</v>
      </c>
      <c r="I291" s="386">
        <v>175000</v>
      </c>
    </row>
    <row r="292" spans="3:9" ht="18" x14ac:dyDescent="0.3">
      <c r="C292" s="371"/>
      <c r="D292" s="542"/>
      <c r="E292" s="543"/>
      <c r="F292" s="544"/>
      <c r="G292" s="545"/>
      <c r="H292" s="385"/>
      <c r="I292" s="386"/>
    </row>
    <row r="293" spans="3:9" ht="18" x14ac:dyDescent="0.3">
      <c r="C293" s="371">
        <v>4</v>
      </c>
      <c r="D293" s="544" t="s">
        <v>167</v>
      </c>
      <c r="E293" s="545"/>
      <c r="F293" s="544" t="s">
        <v>168</v>
      </c>
      <c r="G293" s="545"/>
      <c r="H293" s="385">
        <v>325</v>
      </c>
      <c r="I293" s="386">
        <v>227500</v>
      </c>
    </row>
    <row r="294" spans="3:9" ht="18" x14ac:dyDescent="0.3">
      <c r="C294" s="371"/>
      <c r="D294" s="542"/>
      <c r="E294" s="543"/>
      <c r="F294" s="544" t="s">
        <v>169</v>
      </c>
      <c r="G294" s="545"/>
      <c r="H294" s="385"/>
      <c r="I294" s="386"/>
    </row>
    <row r="295" spans="3:9" ht="18" x14ac:dyDescent="0.3">
      <c r="C295" s="371"/>
      <c r="D295" s="542"/>
      <c r="E295" s="543"/>
      <c r="F295" s="544" t="s">
        <v>170</v>
      </c>
      <c r="G295" s="545"/>
      <c r="H295" s="385"/>
      <c r="I295" s="386"/>
    </row>
    <row r="296" spans="3:9" ht="18" x14ac:dyDescent="0.3">
      <c r="C296" s="371"/>
      <c r="D296" s="542"/>
      <c r="E296" s="543"/>
      <c r="F296" s="544" t="s">
        <v>171</v>
      </c>
      <c r="G296" s="545"/>
      <c r="H296" s="385">
        <v>268</v>
      </c>
      <c r="I296" s="386">
        <v>187600</v>
      </c>
    </row>
    <row r="297" spans="3:9" ht="18" x14ac:dyDescent="0.3">
      <c r="C297" s="371"/>
      <c r="D297" s="542"/>
      <c r="E297" s="543"/>
      <c r="F297" s="544" t="s">
        <v>172</v>
      </c>
      <c r="G297" s="545"/>
      <c r="H297" s="385"/>
      <c r="I297" s="386"/>
    </row>
    <row r="298" spans="3:9" ht="18" x14ac:dyDescent="0.3">
      <c r="C298" s="371"/>
      <c r="D298" s="542"/>
      <c r="E298" s="543"/>
      <c r="F298" s="544" t="s">
        <v>173</v>
      </c>
      <c r="G298" s="545"/>
      <c r="H298" s="385">
        <v>28170</v>
      </c>
      <c r="I298" s="386">
        <v>28915941.600000001</v>
      </c>
    </row>
    <row r="299" spans="3:9" ht="18" x14ac:dyDescent="0.3">
      <c r="C299" s="387"/>
      <c r="D299" s="542"/>
      <c r="E299" s="543"/>
      <c r="F299" s="544" t="s">
        <v>174</v>
      </c>
      <c r="G299" s="545"/>
      <c r="H299" s="385"/>
      <c r="I299" s="388"/>
    </row>
    <row r="300" spans="3:9" ht="18" x14ac:dyDescent="0.3">
      <c r="C300" s="387"/>
      <c r="D300" s="542"/>
      <c r="E300" s="543"/>
      <c r="F300" s="555"/>
      <c r="G300" s="556"/>
      <c r="H300" s="389"/>
      <c r="I300" s="388"/>
    </row>
    <row r="301" spans="3:9" ht="18" x14ac:dyDescent="0.3">
      <c r="C301" s="387">
        <v>5</v>
      </c>
      <c r="D301" s="542" t="s">
        <v>175</v>
      </c>
      <c r="E301" s="543"/>
      <c r="F301" s="544" t="s">
        <v>176</v>
      </c>
      <c r="G301" s="545"/>
      <c r="H301" s="385">
        <v>187</v>
      </c>
      <c r="I301" s="388">
        <v>130900</v>
      </c>
    </row>
    <row r="302" spans="3:9" ht="18" x14ac:dyDescent="0.3">
      <c r="C302" s="387"/>
      <c r="D302" s="542"/>
      <c r="E302" s="543"/>
      <c r="F302" s="544" t="s">
        <v>177</v>
      </c>
      <c r="G302" s="545"/>
      <c r="H302" s="385">
        <v>100</v>
      </c>
      <c r="I302" s="388">
        <v>70000</v>
      </c>
    </row>
    <row r="303" spans="3:9" ht="18.600000000000001" thickBot="1" x14ac:dyDescent="0.35">
      <c r="C303" s="387"/>
      <c r="D303" s="546"/>
      <c r="E303" s="547"/>
      <c r="F303" s="544"/>
      <c r="G303" s="545"/>
      <c r="H303" s="389"/>
      <c r="I303" s="390"/>
    </row>
    <row r="304" spans="3:9" ht="18.600000000000001" thickBot="1" x14ac:dyDescent="0.35">
      <c r="C304" s="548" t="s">
        <v>178</v>
      </c>
      <c r="D304" s="549"/>
      <c r="E304" s="550"/>
      <c r="F304" s="551" t="s">
        <v>179</v>
      </c>
      <c r="G304" s="552"/>
      <c r="H304" s="381">
        <f>SUM(H288:H303)</f>
        <v>1623077.48</v>
      </c>
      <c r="I304" s="391">
        <f>SUM(I289:I303)</f>
        <v>96911225.419999987</v>
      </c>
    </row>
    <row r="305" spans="2:9" ht="14.4" x14ac:dyDescent="0.3">
      <c r="B305"/>
      <c r="C305" s="136"/>
      <c r="D305" s="136"/>
      <c r="E305" s="137"/>
      <c r="F305" s="137"/>
    </row>
    <row r="306" spans="2:9" ht="14.4" x14ac:dyDescent="0.3">
      <c r="B306"/>
      <c r="C306" s="136"/>
      <c r="D306" s="136"/>
      <c r="E306" s="137"/>
      <c r="F306" s="137"/>
    </row>
    <row r="307" spans="2:9" ht="14.4" x14ac:dyDescent="0.3">
      <c r="B307"/>
      <c r="C307" s="136"/>
      <c r="D307" s="136"/>
      <c r="E307" s="137"/>
      <c r="F307" s="137"/>
    </row>
    <row r="308" spans="2:9" ht="14.4" x14ac:dyDescent="0.3">
      <c r="B308"/>
      <c r="C308" s="136"/>
      <c r="D308" s="136"/>
      <c r="E308" s="137"/>
      <c r="F308" s="137"/>
    </row>
    <row r="309" spans="2:9" ht="14.4" x14ac:dyDescent="0.3">
      <c r="B309"/>
      <c r="C309" s="136"/>
      <c r="D309" s="136"/>
      <c r="E309" s="137"/>
      <c r="F309" s="70"/>
    </row>
    <row r="310" spans="2:9" ht="14.4" x14ac:dyDescent="0.3">
      <c r="B310"/>
      <c r="C310" s="553" t="s">
        <v>201</v>
      </c>
      <c r="D310" s="553"/>
      <c r="E310" s="553"/>
      <c r="F310" s="553"/>
      <c r="G310" s="553"/>
      <c r="H310" s="553"/>
      <c r="I310" s="553"/>
    </row>
    <row r="311" spans="2:9" x14ac:dyDescent="0.3">
      <c r="C311" s="554" t="s">
        <v>120</v>
      </c>
      <c r="D311" s="554"/>
      <c r="E311" s="554"/>
      <c r="F311" s="554"/>
      <c r="G311" s="554"/>
      <c r="H311" s="554"/>
      <c r="I311" s="554"/>
    </row>
    <row r="312" spans="2:9" x14ac:dyDescent="0.3">
      <c r="C312" s="72"/>
      <c r="D312" s="72"/>
      <c r="E312" s="72"/>
      <c r="F312" s="72"/>
    </row>
    <row r="313" spans="2:9" ht="15.6" x14ac:dyDescent="0.3">
      <c r="B313" s="138"/>
      <c r="C313" s="138"/>
      <c r="D313" s="138"/>
      <c r="E313" s="138"/>
      <c r="F313" s="138"/>
    </row>
    <row r="314" spans="2:9" ht="15.6" x14ac:dyDescent="0.3">
      <c r="B314"/>
      <c r="C314"/>
      <c r="D314" s="139"/>
      <c r="E314" s="139"/>
      <c r="F314" s="139"/>
    </row>
    <row r="315" spans="2:9" ht="15.6" x14ac:dyDescent="0.3">
      <c r="B315"/>
      <c r="C315"/>
      <c r="D315" s="140"/>
      <c r="E315" s="140"/>
      <c r="F315" s="140"/>
    </row>
    <row r="316" spans="2:9" ht="15.6" x14ac:dyDescent="0.3">
      <c r="B316" s="140"/>
      <c r="C316" s="140"/>
      <c r="D316" s="140"/>
      <c r="E316" s="140"/>
      <c r="F316" s="140"/>
    </row>
    <row r="317" spans="2:9" ht="15.6" x14ac:dyDescent="0.3">
      <c r="B317" s="140"/>
      <c r="C317" s="140"/>
      <c r="D317" s="140"/>
      <c r="E317" s="140"/>
      <c r="F317" s="140"/>
    </row>
    <row r="318" spans="2:9" ht="15.6" x14ac:dyDescent="0.3">
      <c r="B318" s="140"/>
      <c r="C318" s="140"/>
      <c r="D318" s="140"/>
      <c r="E318" s="140"/>
      <c r="F318" s="140"/>
    </row>
    <row r="319" spans="2:9" ht="15.6" x14ac:dyDescent="0.3">
      <c r="B319" s="140"/>
      <c r="C319" s="140"/>
      <c r="D319" s="140"/>
      <c r="E319" s="140"/>
      <c r="F319" s="140"/>
    </row>
    <row r="320" spans="2:9" ht="15.6" x14ac:dyDescent="0.3">
      <c r="B320" s="140"/>
      <c r="C320" s="140"/>
      <c r="D320" s="140"/>
      <c r="E320" s="140"/>
      <c r="F320" s="140"/>
    </row>
    <row r="321" spans="2:6" ht="15.6" x14ac:dyDescent="0.3">
      <c r="B321" s="140"/>
      <c r="C321" s="140"/>
      <c r="D321" s="140"/>
      <c r="E321" s="140"/>
      <c r="F321" s="140"/>
    </row>
  </sheetData>
  <mergeCells count="193">
    <mergeCell ref="M12:M16"/>
    <mergeCell ref="C15:J15"/>
    <mergeCell ref="C16:J16"/>
    <mergeCell ref="C17:J17"/>
    <mergeCell ref="M17:M18"/>
    <mergeCell ref="C18:J18"/>
    <mergeCell ref="C28:D28"/>
    <mergeCell ref="E28:L28"/>
    <mergeCell ref="B33:M33"/>
    <mergeCell ref="B14:L14"/>
    <mergeCell ref="B95:M95"/>
    <mergeCell ref="B96:M96"/>
    <mergeCell ref="B101:L101"/>
    <mergeCell ref="M19:M20"/>
    <mergeCell ref="H20:L20"/>
    <mergeCell ref="C21:D21"/>
    <mergeCell ref="C23:D23"/>
    <mergeCell ref="C25:G25"/>
    <mergeCell ref="C26:G26"/>
    <mergeCell ref="B117:H117"/>
    <mergeCell ref="B119:C119"/>
    <mergeCell ref="D119:E119"/>
    <mergeCell ref="G119:H119"/>
    <mergeCell ref="B120:C120"/>
    <mergeCell ref="D120:E120"/>
    <mergeCell ref="G120:H120"/>
    <mergeCell ref="B103:L103"/>
    <mergeCell ref="B114:C115"/>
    <mergeCell ref="D114:E115"/>
    <mergeCell ref="F114:F115"/>
    <mergeCell ref="G114:H115"/>
    <mergeCell ref="B109:H109"/>
    <mergeCell ref="B110:H110"/>
    <mergeCell ref="B111:H111"/>
    <mergeCell ref="B112:H112"/>
    <mergeCell ref="B127:C127"/>
    <mergeCell ref="D127:E127"/>
    <mergeCell ref="G127:H127"/>
    <mergeCell ref="B128:C128"/>
    <mergeCell ref="D128:E128"/>
    <mergeCell ref="G128:H128"/>
    <mergeCell ref="B122:C122"/>
    <mergeCell ref="D122:E122"/>
    <mergeCell ref="G122:H122"/>
    <mergeCell ref="B124:H124"/>
    <mergeCell ref="B126:C126"/>
    <mergeCell ref="D126:E126"/>
    <mergeCell ref="G126:H126"/>
    <mergeCell ref="G134:H134"/>
    <mergeCell ref="G135:H135"/>
    <mergeCell ref="B130:C130"/>
    <mergeCell ref="D130:E130"/>
    <mergeCell ref="G130:H130"/>
    <mergeCell ref="B132:H132"/>
    <mergeCell ref="G133:H133"/>
    <mergeCell ref="G138:H138"/>
    <mergeCell ref="G139:H139"/>
    <mergeCell ref="G136:H136"/>
    <mergeCell ref="G137:H137"/>
    <mergeCell ref="G142:H142"/>
    <mergeCell ref="G143:H143"/>
    <mergeCell ref="G140:H140"/>
    <mergeCell ref="G141:H141"/>
    <mergeCell ref="G146:H146"/>
    <mergeCell ref="G147:H147"/>
    <mergeCell ref="G144:H144"/>
    <mergeCell ref="G145:H145"/>
    <mergeCell ref="G150:H150"/>
    <mergeCell ref="G151:H151"/>
    <mergeCell ref="G148:H148"/>
    <mergeCell ref="G149:H149"/>
    <mergeCell ref="G154:H154"/>
    <mergeCell ref="G155:H155"/>
    <mergeCell ref="G152:H152"/>
    <mergeCell ref="G153:H153"/>
    <mergeCell ref="G158:H158"/>
    <mergeCell ref="G159:H159"/>
    <mergeCell ref="G156:H156"/>
    <mergeCell ref="G157:H157"/>
    <mergeCell ref="G162:H162"/>
    <mergeCell ref="G163:H163"/>
    <mergeCell ref="G160:H160"/>
    <mergeCell ref="G161:H161"/>
    <mergeCell ref="G166:H166"/>
    <mergeCell ref="G167:H167"/>
    <mergeCell ref="G164:H164"/>
    <mergeCell ref="G165:H165"/>
    <mergeCell ref="G170:H170"/>
    <mergeCell ref="G171:H171"/>
    <mergeCell ref="G168:H168"/>
    <mergeCell ref="G169:H169"/>
    <mergeCell ref="G172:H172"/>
    <mergeCell ref="G173:H173"/>
    <mergeCell ref="G174:H174"/>
    <mergeCell ref="G176:H176"/>
    <mergeCell ref="G175:H175"/>
    <mergeCell ref="G186:H18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E196:F196"/>
    <mergeCell ref="E197:F197"/>
    <mergeCell ref="E198:F198"/>
    <mergeCell ref="E199:F199"/>
    <mergeCell ref="E200:F200"/>
    <mergeCell ref="E201:F201"/>
    <mergeCell ref="D188:E188"/>
    <mergeCell ref="G188:H188"/>
    <mergeCell ref="B190:C190"/>
    <mergeCell ref="D190:E190"/>
    <mergeCell ref="G190:H190"/>
    <mergeCell ref="B194:E194"/>
    <mergeCell ref="E216:F216"/>
    <mergeCell ref="E217:F217"/>
    <mergeCell ref="E218:F218"/>
    <mergeCell ref="E219:F219"/>
    <mergeCell ref="E220:F220"/>
    <mergeCell ref="E221:F221"/>
    <mergeCell ref="E202:F202"/>
    <mergeCell ref="E204:F204"/>
    <mergeCell ref="B211:F211"/>
    <mergeCell ref="E213:F213"/>
    <mergeCell ref="E214:F214"/>
    <mergeCell ref="E215:F215"/>
    <mergeCell ref="B207:H207"/>
    <mergeCell ref="B208:H208"/>
    <mergeCell ref="C274:I274"/>
    <mergeCell ref="C275:I275"/>
    <mergeCell ref="C276:I276"/>
    <mergeCell ref="C278:I278"/>
    <mergeCell ref="D280:E280"/>
    <mergeCell ref="F280:G280"/>
    <mergeCell ref="E222:F222"/>
    <mergeCell ref="E223:F223"/>
    <mergeCell ref="E224:F224"/>
    <mergeCell ref="E225:F225"/>
    <mergeCell ref="E227:F227"/>
    <mergeCell ref="C273:I273"/>
    <mergeCell ref="D284:E284"/>
    <mergeCell ref="F284:G284"/>
    <mergeCell ref="D285:E285"/>
    <mergeCell ref="F285:G285"/>
    <mergeCell ref="F286:G286"/>
    <mergeCell ref="D287:E287"/>
    <mergeCell ref="F287:G287"/>
    <mergeCell ref="D281:E281"/>
    <mergeCell ref="F281:G281"/>
    <mergeCell ref="D282:E282"/>
    <mergeCell ref="F282:G282"/>
    <mergeCell ref="D283:E283"/>
    <mergeCell ref="F283:G283"/>
    <mergeCell ref="D291:E291"/>
    <mergeCell ref="F291:G291"/>
    <mergeCell ref="D292:E292"/>
    <mergeCell ref="F292:G292"/>
    <mergeCell ref="D293:E293"/>
    <mergeCell ref="F293:G293"/>
    <mergeCell ref="D288:E288"/>
    <mergeCell ref="F288:G288"/>
    <mergeCell ref="D289:E289"/>
    <mergeCell ref="F289:G289"/>
    <mergeCell ref="D290:E290"/>
    <mergeCell ref="F290:G290"/>
    <mergeCell ref="D303:E303"/>
    <mergeCell ref="F303:G303"/>
    <mergeCell ref="C304:E304"/>
    <mergeCell ref="F304:G304"/>
    <mergeCell ref="C310:I310"/>
    <mergeCell ref="C311:I311"/>
    <mergeCell ref="D300:E300"/>
    <mergeCell ref="F300:G300"/>
    <mergeCell ref="D301:E301"/>
    <mergeCell ref="F301:G301"/>
    <mergeCell ref="D302:E302"/>
    <mergeCell ref="F302:G302"/>
    <mergeCell ref="D297:E297"/>
    <mergeCell ref="F297:G297"/>
    <mergeCell ref="D298:E298"/>
    <mergeCell ref="F298:G298"/>
    <mergeCell ref="D299:E299"/>
    <mergeCell ref="F299:G299"/>
    <mergeCell ref="D294:E294"/>
    <mergeCell ref="F294:G294"/>
    <mergeCell ref="D295:E295"/>
    <mergeCell ref="F295:G295"/>
    <mergeCell ref="D296:E296"/>
    <mergeCell ref="F296:G296"/>
  </mergeCells>
  <dataValidations disablePrompts="1" count="2">
    <dataValidation type="list" allowBlank="1" showInputMessage="1" showErrorMessage="1" sqref="I19">
      <formula1>#REF!</formula1>
    </dataValidation>
    <dataValidation type="whole" allowBlank="1" showInputMessage="1" showErrorMessage="1" error="SOLO VALOR NUMERICO" prompt="SOLO VALOR NUMERICO" sqref="C225">
      <formula1>1</formula1>
      <formula2>1000000</formula2>
    </dataValidation>
  </dataValidations>
  <printOptions horizontalCentered="1"/>
  <pageMargins left="0.19685039370078741" right="3.937007874015748E-2" top="0.74803149606299213" bottom="0.74803149606299213" header="0.31496062992125984" footer="0.31496062992125984"/>
  <pageSetup scale="80" fitToHeight="2" orientation="portrait" horizontalDpi="0" verticalDpi="0" r:id="rId1"/>
  <rowBreaks count="1" manualBreakCount="1">
    <brk id="59" min="1" max="12" man="1"/>
  </row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J10" sqref="J10"/>
    </sheetView>
  </sheetViews>
  <sheetFormatPr baseColWidth="10" defaultRowHeight="14.4" x14ac:dyDescent="0.3"/>
  <sheetData>
    <row r="1" spans="1:7" x14ac:dyDescent="0.3">
      <c r="A1" s="72"/>
      <c r="B1" s="73"/>
      <c r="C1" s="73"/>
      <c r="D1" s="73"/>
      <c r="E1" s="73"/>
      <c r="F1" s="73"/>
      <c r="G1" s="73"/>
    </row>
    <row r="2" spans="1:7" x14ac:dyDescent="0.3">
      <c r="A2" s="72"/>
      <c r="B2" s="73"/>
      <c r="C2" s="73"/>
      <c r="D2" s="73"/>
      <c r="E2" s="73"/>
      <c r="F2" s="73"/>
      <c r="G2" s="73"/>
    </row>
    <row r="3" spans="1:7" x14ac:dyDescent="0.3">
      <c r="A3" s="72"/>
      <c r="B3" s="73"/>
      <c r="C3" s="73"/>
      <c r="D3" s="73"/>
      <c r="E3" s="73"/>
      <c r="F3" s="73"/>
      <c r="G3" s="73"/>
    </row>
    <row r="4" spans="1:7" ht="18" x14ac:dyDescent="0.3">
      <c r="A4" s="641" t="s">
        <v>45</v>
      </c>
      <c r="B4" s="641"/>
      <c r="C4" s="641"/>
      <c r="D4" s="641"/>
      <c r="E4" s="641"/>
      <c r="F4" s="641"/>
      <c r="G4" s="641"/>
    </row>
    <row r="5" spans="1:7" ht="15.6" x14ac:dyDescent="0.3">
      <c r="A5" s="642" t="s">
        <v>46</v>
      </c>
      <c r="B5" s="642"/>
      <c r="C5" s="642"/>
      <c r="D5" s="642"/>
      <c r="E5" s="642"/>
      <c r="F5" s="642"/>
      <c r="G5" s="642"/>
    </row>
    <row r="6" spans="1:7" ht="18" x14ac:dyDescent="0.35">
      <c r="A6" s="643" t="s">
        <v>252</v>
      </c>
      <c r="B6" s="643"/>
      <c r="C6" s="643"/>
      <c r="D6" s="643"/>
      <c r="E6" s="643"/>
      <c r="F6" s="643"/>
      <c r="G6" s="643"/>
    </row>
    <row r="7" spans="1:7" x14ac:dyDescent="0.3">
      <c r="A7" s="644" t="s">
        <v>90</v>
      </c>
      <c r="B7" s="644"/>
      <c r="C7" s="644"/>
      <c r="D7" s="644"/>
      <c r="E7" s="644"/>
      <c r="F7" s="644"/>
      <c r="G7" s="644"/>
    </row>
    <row r="8" spans="1:7" x14ac:dyDescent="0.3">
      <c r="G8" s="73"/>
    </row>
    <row r="9" spans="1:7" x14ac:dyDescent="0.3">
      <c r="A9" s="627" t="s">
        <v>91</v>
      </c>
      <c r="B9" s="628"/>
      <c r="C9" s="631" t="s">
        <v>1</v>
      </c>
      <c r="D9" s="632"/>
      <c r="E9" s="635" t="s">
        <v>121</v>
      </c>
      <c r="F9" s="637" t="s">
        <v>95</v>
      </c>
      <c r="G9" s="638"/>
    </row>
    <row r="10" spans="1:7" x14ac:dyDescent="0.3">
      <c r="A10" s="629"/>
      <c r="B10" s="630"/>
      <c r="C10" s="633"/>
      <c r="D10" s="634"/>
      <c r="E10" s="636"/>
      <c r="F10" s="639"/>
      <c r="G10" s="640"/>
    </row>
    <row r="12" spans="1:7" ht="15.6" x14ac:dyDescent="0.3">
      <c r="A12" s="617" t="s">
        <v>96</v>
      </c>
      <c r="B12" s="618"/>
      <c r="C12" s="618"/>
      <c r="D12" s="618"/>
      <c r="E12" s="618"/>
      <c r="F12" s="618"/>
      <c r="G12" s="619"/>
    </row>
    <row r="14" spans="1:7" ht="15.6" x14ac:dyDescent="0.3">
      <c r="A14" s="620" t="s">
        <v>122</v>
      </c>
      <c r="B14" s="621"/>
      <c r="C14" s="622" t="e">
        <f>+#REF!</f>
        <v>#REF!</v>
      </c>
      <c r="D14" s="623"/>
      <c r="E14" s="88" t="e">
        <f>+#REF!</f>
        <v>#REF!</v>
      </c>
      <c r="F14" s="624" t="e">
        <f>C14*E14</f>
        <v>#REF!</v>
      </c>
      <c r="G14" s="625"/>
    </row>
    <row r="15" spans="1:7" ht="15.6" x14ac:dyDescent="0.3">
      <c r="A15" s="620" t="s">
        <v>97</v>
      </c>
      <c r="B15" s="621"/>
      <c r="C15" s="622" t="e">
        <f>+#REF!</f>
        <v>#REF!</v>
      </c>
      <c r="D15" s="623"/>
      <c r="E15" s="88" t="e">
        <f>+F15/C15</f>
        <v>#REF!</v>
      </c>
      <c r="F15" s="624" t="e">
        <f>+#REF!</f>
        <v>#REF!</v>
      </c>
      <c r="G15" s="625"/>
    </row>
    <row r="16" spans="1:7" x14ac:dyDescent="0.3">
      <c r="C16" s="89"/>
      <c r="D16" s="89"/>
      <c r="E16" s="89"/>
      <c r="F16" s="90"/>
      <c r="G16" s="90"/>
    </row>
    <row r="17" spans="1:7" ht="15.6" x14ac:dyDescent="0.3">
      <c r="A17" s="609" t="s">
        <v>98</v>
      </c>
      <c r="B17" s="610"/>
      <c r="C17" s="611" t="e">
        <f>SUM(C14:C15)</f>
        <v>#REF!</v>
      </c>
      <c r="D17" s="612"/>
      <c r="F17" s="613" t="e">
        <f>SUM(F14:F15)</f>
        <v>#REF!</v>
      </c>
      <c r="G17" s="614"/>
    </row>
    <row r="19" spans="1:7" x14ac:dyDescent="0.3">
      <c r="A19" s="615" t="s">
        <v>99</v>
      </c>
      <c r="B19" s="616"/>
      <c r="C19" s="616"/>
      <c r="D19" s="616"/>
      <c r="E19" s="616"/>
      <c r="F19" s="616"/>
      <c r="G19" s="616"/>
    </row>
    <row r="21" spans="1:7" x14ac:dyDescent="0.3">
      <c r="A21" s="605" t="e">
        <f>+#REF!</f>
        <v>#REF!</v>
      </c>
      <c r="B21" s="606"/>
      <c r="C21" s="607">
        <v>0</v>
      </c>
      <c r="D21" s="608"/>
      <c r="E21" s="91" t="e">
        <f>+#REF!</f>
        <v>#REF!</v>
      </c>
      <c r="F21" s="607" t="e">
        <f>+C21*E21</f>
        <v>#REF!</v>
      </c>
      <c r="G21" s="608"/>
    </row>
    <row r="22" spans="1:7" x14ac:dyDescent="0.3">
      <c r="A22" s="605" t="e">
        <f>+#REF!</f>
        <v>#REF!</v>
      </c>
      <c r="B22" s="606"/>
      <c r="C22" s="607">
        <v>0</v>
      </c>
      <c r="D22" s="608"/>
      <c r="E22" s="91" t="e">
        <f>+#REF!</f>
        <v>#REF!</v>
      </c>
      <c r="F22" s="607" t="e">
        <f>+C22*E22</f>
        <v>#REF!</v>
      </c>
      <c r="G22" s="608"/>
    </row>
    <row r="23" spans="1:7" x14ac:dyDescent="0.3">
      <c r="A23" s="605" t="s">
        <v>102</v>
      </c>
      <c r="B23" s="606"/>
      <c r="C23" s="607">
        <v>0</v>
      </c>
      <c r="D23" s="608"/>
      <c r="E23" s="91" t="e">
        <f>+#REF!</f>
        <v>#REF!</v>
      </c>
      <c r="F23" s="607" t="e">
        <f>+C23*E23</f>
        <v>#REF!</v>
      </c>
      <c r="G23" s="608"/>
    </row>
    <row r="24" spans="1:7" x14ac:dyDescent="0.3">
      <c r="A24" s="92"/>
      <c r="B24" s="92"/>
    </row>
    <row r="25" spans="1:7" x14ac:dyDescent="0.3">
      <c r="A25" s="600" t="s">
        <v>103</v>
      </c>
      <c r="B25" s="601"/>
      <c r="C25" s="602">
        <f>SUM(C21:C23)</f>
        <v>0</v>
      </c>
      <c r="D25" s="603"/>
      <c r="E25" s="93"/>
      <c r="F25" s="602" t="e">
        <f>SUM(F21:G24)</f>
        <v>#REF!</v>
      </c>
      <c r="G25" s="603"/>
    </row>
    <row r="27" spans="1:7" ht="15.6" x14ac:dyDescent="0.3">
      <c r="A27" s="604" t="s">
        <v>123</v>
      </c>
      <c r="B27" s="604"/>
      <c r="C27" s="604"/>
      <c r="D27" s="604"/>
      <c r="E27" s="604"/>
      <c r="F27" s="604"/>
      <c r="G27" s="604"/>
    </row>
    <row r="28" spans="1:7" ht="15.6" x14ac:dyDescent="0.3">
      <c r="A28" s="471" t="s">
        <v>105</v>
      </c>
      <c r="B28" s="472"/>
      <c r="C28" s="469" t="e">
        <f t="shared" ref="C28" si="0">+#REF!</f>
        <v>#REF!</v>
      </c>
      <c r="D28" s="470"/>
      <c r="E28" s="94">
        <f>+L$19</f>
        <v>0</v>
      </c>
      <c r="F28" s="598" t="e">
        <f>C28*E28</f>
        <v>#REF!</v>
      </c>
      <c r="G28" s="599"/>
    </row>
    <row r="29" spans="1:7" ht="15.6" x14ac:dyDescent="0.3">
      <c r="A29" s="471" t="s">
        <v>106</v>
      </c>
      <c r="B29" s="472"/>
      <c r="C29" s="469" t="e">
        <f t="shared" ref="C29" si="1">+#REF!</f>
        <v>#REF!</v>
      </c>
      <c r="D29" s="470"/>
      <c r="E29" s="94">
        <f t="shared" ref="E29:E81" si="2">+L$19</f>
        <v>0</v>
      </c>
      <c r="F29" s="598" t="e">
        <f>C29*E29</f>
        <v>#REF!</v>
      </c>
      <c r="G29" s="599"/>
    </row>
    <row r="30" spans="1:7" ht="15.6" x14ac:dyDescent="0.3">
      <c r="A30" s="471" t="s">
        <v>65</v>
      </c>
      <c r="B30" s="472"/>
      <c r="C30" s="469" t="e">
        <f t="shared" ref="C30" si="3">+#REF!</f>
        <v>#REF!</v>
      </c>
      <c r="D30" s="470"/>
      <c r="E30" s="94" t="e">
        <f>+#REF!</f>
        <v>#REF!</v>
      </c>
      <c r="F30" s="598" t="e">
        <f>+E30*C30</f>
        <v>#REF!</v>
      </c>
      <c r="G30" s="599"/>
    </row>
    <row r="31" spans="1:7" ht="15.6" x14ac:dyDescent="0.3">
      <c r="A31" s="471" t="s">
        <v>107</v>
      </c>
      <c r="B31" s="472"/>
      <c r="C31" s="469" t="e">
        <f t="shared" ref="C31" si="4">+#REF!</f>
        <v>#REF!</v>
      </c>
      <c r="D31" s="470"/>
      <c r="E31" s="94" t="e">
        <f>+#REF!</f>
        <v>#REF!</v>
      </c>
      <c r="F31" s="598" t="e">
        <f>+E31*C31</f>
        <v>#REF!</v>
      </c>
      <c r="G31" s="599"/>
    </row>
    <row r="32" spans="1:7" ht="15.6" x14ac:dyDescent="0.3">
      <c r="A32" s="471" t="s">
        <v>7</v>
      </c>
      <c r="B32" s="472"/>
      <c r="C32" s="469" t="e">
        <f t="shared" ref="C32" si="5">+#REF!</f>
        <v>#REF!</v>
      </c>
      <c r="D32" s="470"/>
      <c r="E32" s="94" t="e">
        <f>+#REF!</f>
        <v>#REF!</v>
      </c>
      <c r="F32" s="598" t="e">
        <f>+E32*C32</f>
        <v>#REF!</v>
      </c>
      <c r="G32" s="599"/>
    </row>
    <row r="33" spans="1:7" ht="15.6" x14ac:dyDescent="0.3">
      <c r="A33" s="471" t="s">
        <v>108</v>
      </c>
      <c r="B33" s="472"/>
      <c r="C33" s="469" t="e">
        <f t="shared" ref="C33" si="6">+#REF!</f>
        <v>#REF!</v>
      </c>
      <c r="D33" s="470"/>
      <c r="E33" s="94">
        <f t="shared" si="2"/>
        <v>0</v>
      </c>
      <c r="F33" s="598" t="e">
        <f t="shared" ref="F33:F70" si="7">C33*E33</f>
        <v>#REF!</v>
      </c>
      <c r="G33" s="599"/>
    </row>
    <row r="34" spans="1:7" ht="15.6" x14ac:dyDescent="0.3">
      <c r="A34" s="471" t="s">
        <v>14</v>
      </c>
      <c r="B34" s="472"/>
      <c r="C34" s="469" t="e">
        <f t="shared" ref="C34" si="8">+#REF!</f>
        <v>#REF!</v>
      </c>
      <c r="D34" s="470"/>
      <c r="E34" s="94">
        <f t="shared" si="2"/>
        <v>0</v>
      </c>
      <c r="F34" s="598" t="e">
        <f t="shared" si="7"/>
        <v>#REF!</v>
      </c>
      <c r="G34" s="599"/>
    </row>
    <row r="35" spans="1:7" ht="15.6" x14ac:dyDescent="0.3">
      <c r="A35" s="471" t="s">
        <v>2</v>
      </c>
      <c r="B35" s="472"/>
      <c r="C35" s="469" t="e">
        <f t="shared" ref="C35" si="9">+#REF!</f>
        <v>#REF!</v>
      </c>
      <c r="D35" s="470"/>
      <c r="E35" s="94">
        <f t="shared" si="2"/>
        <v>0</v>
      </c>
      <c r="F35" s="598" t="e">
        <f t="shared" si="7"/>
        <v>#REF!</v>
      </c>
      <c r="G35" s="599"/>
    </row>
    <row r="36" spans="1:7" ht="15.6" x14ac:dyDescent="0.3">
      <c r="A36" s="471" t="s">
        <v>3</v>
      </c>
      <c r="B36" s="472"/>
      <c r="C36" s="469" t="e">
        <f t="shared" ref="C36" si="10">+#REF!</f>
        <v>#REF!</v>
      </c>
      <c r="D36" s="470"/>
      <c r="E36" s="94">
        <f t="shared" si="2"/>
        <v>0</v>
      </c>
      <c r="F36" s="598" t="e">
        <f t="shared" si="7"/>
        <v>#REF!</v>
      </c>
      <c r="G36" s="599"/>
    </row>
    <row r="37" spans="1:7" ht="15.6" x14ac:dyDescent="0.3">
      <c r="A37" s="471" t="s">
        <v>43</v>
      </c>
      <c r="B37" s="472"/>
      <c r="C37" s="469" t="e">
        <f t="shared" ref="C37" si="11">+#REF!</f>
        <v>#REF!</v>
      </c>
      <c r="D37" s="470"/>
      <c r="E37" s="94">
        <f t="shared" si="2"/>
        <v>0</v>
      </c>
      <c r="F37" s="598" t="e">
        <f t="shared" si="7"/>
        <v>#REF!</v>
      </c>
      <c r="G37" s="599"/>
    </row>
    <row r="38" spans="1:7" ht="15.6" x14ac:dyDescent="0.3">
      <c r="A38" s="471" t="s">
        <v>5</v>
      </c>
      <c r="B38" s="472"/>
      <c r="C38" s="469" t="e">
        <f t="shared" ref="C38" si="12">+#REF!</f>
        <v>#REF!</v>
      </c>
      <c r="D38" s="470"/>
      <c r="E38" s="94">
        <f t="shared" si="2"/>
        <v>0</v>
      </c>
      <c r="F38" s="598" t="e">
        <f t="shared" si="7"/>
        <v>#REF!</v>
      </c>
      <c r="G38" s="599"/>
    </row>
    <row r="39" spans="1:7" ht="15.6" x14ac:dyDescent="0.3">
      <c r="A39" s="471" t="s">
        <v>40</v>
      </c>
      <c r="B39" s="472"/>
      <c r="C39" s="469" t="e">
        <f t="shared" ref="C39" si="13">+#REF!</f>
        <v>#REF!</v>
      </c>
      <c r="D39" s="470"/>
      <c r="E39" s="94">
        <f t="shared" si="2"/>
        <v>0</v>
      </c>
      <c r="F39" s="598" t="e">
        <f t="shared" si="7"/>
        <v>#REF!</v>
      </c>
      <c r="G39" s="599"/>
    </row>
    <row r="40" spans="1:7" ht="15.6" x14ac:dyDescent="0.3">
      <c r="A40" s="471" t="s">
        <v>109</v>
      </c>
      <c r="B40" s="472"/>
      <c r="C40" s="469" t="e">
        <f t="shared" ref="C40" si="14">+#REF!</f>
        <v>#REF!</v>
      </c>
      <c r="D40" s="470"/>
      <c r="E40" s="94">
        <f t="shared" si="2"/>
        <v>0</v>
      </c>
      <c r="F40" s="598" t="e">
        <f t="shared" si="7"/>
        <v>#REF!</v>
      </c>
      <c r="G40" s="599"/>
    </row>
    <row r="41" spans="1:7" ht="15.6" x14ac:dyDescent="0.3">
      <c r="A41" s="471" t="s">
        <v>8</v>
      </c>
      <c r="B41" s="472"/>
      <c r="C41" s="469" t="e">
        <f t="shared" ref="C41" si="15">+#REF!</f>
        <v>#REF!</v>
      </c>
      <c r="D41" s="470"/>
      <c r="E41" s="94">
        <f t="shared" si="2"/>
        <v>0</v>
      </c>
      <c r="F41" s="598" t="e">
        <f t="shared" si="7"/>
        <v>#REF!</v>
      </c>
      <c r="G41" s="599"/>
    </row>
    <row r="42" spans="1:7" ht="15.6" x14ac:dyDescent="0.3">
      <c r="A42" s="471" t="s">
        <v>42</v>
      </c>
      <c r="B42" s="472"/>
      <c r="C42" s="469" t="e">
        <f t="shared" ref="C42" si="16">+#REF!</f>
        <v>#REF!</v>
      </c>
      <c r="D42" s="470"/>
      <c r="E42" s="94">
        <f t="shared" si="2"/>
        <v>0</v>
      </c>
      <c r="F42" s="598" t="e">
        <f t="shared" si="7"/>
        <v>#REF!</v>
      </c>
      <c r="G42" s="599"/>
    </row>
    <row r="43" spans="1:7" ht="15.6" x14ac:dyDescent="0.3">
      <c r="A43" s="471" t="s">
        <v>110</v>
      </c>
      <c r="B43" s="472"/>
      <c r="C43" s="469" t="e">
        <f t="shared" ref="C43" si="17">+#REF!</f>
        <v>#REF!</v>
      </c>
      <c r="D43" s="470"/>
      <c r="E43" s="94">
        <f t="shared" si="2"/>
        <v>0</v>
      </c>
      <c r="F43" s="598" t="e">
        <f t="shared" si="7"/>
        <v>#REF!</v>
      </c>
      <c r="G43" s="599"/>
    </row>
    <row r="44" spans="1:7" ht="15.6" x14ac:dyDescent="0.3">
      <c r="A44" s="471" t="s">
        <v>4</v>
      </c>
      <c r="B44" s="472"/>
      <c r="C44" s="469" t="e">
        <f t="shared" ref="C44" si="18">+#REF!</f>
        <v>#REF!</v>
      </c>
      <c r="D44" s="470"/>
      <c r="E44" s="94">
        <f t="shared" si="2"/>
        <v>0</v>
      </c>
      <c r="F44" s="598" t="e">
        <f t="shared" si="7"/>
        <v>#REF!</v>
      </c>
      <c r="G44" s="599"/>
    </row>
    <row r="45" spans="1:7" ht="15.6" x14ac:dyDescent="0.3">
      <c r="A45" s="471" t="s">
        <v>6</v>
      </c>
      <c r="B45" s="472"/>
      <c r="C45" s="469" t="e">
        <f t="shared" ref="C45" si="19">+#REF!</f>
        <v>#REF!</v>
      </c>
      <c r="D45" s="470"/>
      <c r="E45" s="94">
        <f t="shared" si="2"/>
        <v>0</v>
      </c>
      <c r="F45" s="598" t="e">
        <f t="shared" si="7"/>
        <v>#REF!</v>
      </c>
      <c r="G45" s="599"/>
    </row>
    <row r="46" spans="1:7" ht="15.6" x14ac:dyDescent="0.3">
      <c r="A46" s="471" t="s">
        <v>10</v>
      </c>
      <c r="B46" s="472"/>
      <c r="C46" s="469" t="e">
        <f t="shared" ref="C46" si="20">+#REF!</f>
        <v>#REF!</v>
      </c>
      <c r="D46" s="470"/>
      <c r="E46" s="94">
        <f t="shared" si="2"/>
        <v>0</v>
      </c>
      <c r="F46" s="598" t="e">
        <f t="shared" si="7"/>
        <v>#REF!</v>
      </c>
      <c r="G46" s="599"/>
    </row>
    <row r="47" spans="1:7" ht="15.6" x14ac:dyDescent="0.3">
      <c r="A47" s="471" t="s">
        <v>9</v>
      </c>
      <c r="B47" s="472"/>
      <c r="C47" s="469" t="e">
        <f t="shared" ref="C47" si="21">+#REF!</f>
        <v>#REF!</v>
      </c>
      <c r="D47" s="470"/>
      <c r="E47" s="94">
        <f t="shared" si="2"/>
        <v>0</v>
      </c>
      <c r="F47" s="598" t="e">
        <f t="shared" si="7"/>
        <v>#REF!</v>
      </c>
      <c r="G47" s="599"/>
    </row>
    <row r="48" spans="1:7" ht="15.6" x14ac:dyDescent="0.3">
      <c r="A48" s="471" t="s">
        <v>12</v>
      </c>
      <c r="B48" s="472"/>
      <c r="C48" s="469" t="e">
        <f t="shared" ref="C48" si="22">+#REF!</f>
        <v>#REF!</v>
      </c>
      <c r="D48" s="470"/>
      <c r="E48" s="94">
        <f t="shared" si="2"/>
        <v>0</v>
      </c>
      <c r="F48" s="598" t="e">
        <f t="shared" si="7"/>
        <v>#REF!</v>
      </c>
      <c r="G48" s="599"/>
    </row>
    <row r="49" spans="1:7" ht="15.6" x14ac:dyDescent="0.3">
      <c r="A49" s="471" t="s">
        <v>111</v>
      </c>
      <c r="B49" s="472"/>
      <c r="C49" s="469" t="e">
        <f t="shared" ref="C49" si="23">+#REF!</f>
        <v>#REF!</v>
      </c>
      <c r="D49" s="470"/>
      <c r="E49" s="94">
        <f t="shared" si="2"/>
        <v>0</v>
      </c>
      <c r="F49" s="598" t="e">
        <f t="shared" si="7"/>
        <v>#REF!</v>
      </c>
      <c r="G49" s="599"/>
    </row>
    <row r="50" spans="1:7" ht="15.6" x14ac:dyDescent="0.3">
      <c r="A50" s="471" t="s">
        <v>112</v>
      </c>
      <c r="B50" s="472"/>
      <c r="C50" s="469" t="e">
        <f t="shared" ref="C50" si="24">+#REF!</f>
        <v>#REF!</v>
      </c>
      <c r="D50" s="470"/>
      <c r="E50" s="94">
        <f t="shared" si="2"/>
        <v>0</v>
      </c>
      <c r="F50" s="598" t="e">
        <f t="shared" si="7"/>
        <v>#REF!</v>
      </c>
      <c r="G50" s="599"/>
    </row>
    <row r="51" spans="1:7" ht="15.6" x14ac:dyDescent="0.3">
      <c r="A51" s="471" t="s">
        <v>15</v>
      </c>
      <c r="B51" s="472"/>
      <c r="C51" s="469" t="e">
        <f t="shared" ref="C51" si="25">+#REF!</f>
        <v>#REF!</v>
      </c>
      <c r="D51" s="470"/>
      <c r="E51" s="94">
        <f t="shared" si="2"/>
        <v>0</v>
      </c>
      <c r="F51" s="598" t="e">
        <f t="shared" si="7"/>
        <v>#REF!</v>
      </c>
      <c r="G51" s="599"/>
    </row>
    <row r="52" spans="1:7" ht="15.6" x14ac:dyDescent="0.3">
      <c r="A52" s="471" t="s">
        <v>16</v>
      </c>
      <c r="B52" s="472"/>
      <c r="C52" s="469" t="e">
        <f t="shared" ref="C52" si="26">+#REF!</f>
        <v>#REF!</v>
      </c>
      <c r="D52" s="470"/>
      <c r="E52" s="94">
        <f t="shared" si="2"/>
        <v>0</v>
      </c>
      <c r="F52" s="598" t="e">
        <f t="shared" si="7"/>
        <v>#REF!</v>
      </c>
      <c r="G52" s="599"/>
    </row>
    <row r="53" spans="1:7" ht="15.6" x14ac:dyDescent="0.3">
      <c r="A53" s="471" t="s">
        <v>17</v>
      </c>
      <c r="B53" s="472"/>
      <c r="C53" s="469" t="e">
        <f t="shared" ref="C53" si="27">+#REF!</f>
        <v>#REF!</v>
      </c>
      <c r="D53" s="470"/>
      <c r="E53" s="94">
        <f t="shared" si="2"/>
        <v>0</v>
      </c>
      <c r="F53" s="598" t="e">
        <f t="shared" si="7"/>
        <v>#REF!</v>
      </c>
      <c r="G53" s="599"/>
    </row>
    <row r="54" spans="1:7" ht="15.6" x14ac:dyDescent="0.3">
      <c r="A54" s="471" t="s">
        <v>18</v>
      </c>
      <c r="B54" s="472"/>
      <c r="C54" s="469" t="e">
        <f t="shared" ref="C54" si="28">+#REF!</f>
        <v>#REF!</v>
      </c>
      <c r="D54" s="470"/>
      <c r="E54" s="94">
        <f t="shared" si="2"/>
        <v>0</v>
      </c>
      <c r="F54" s="598" t="e">
        <f t="shared" si="7"/>
        <v>#REF!</v>
      </c>
      <c r="G54" s="599"/>
    </row>
    <row r="55" spans="1:7" ht="15.6" x14ac:dyDescent="0.3">
      <c r="A55" s="471" t="s">
        <v>19</v>
      </c>
      <c r="B55" s="472"/>
      <c r="C55" s="469" t="e">
        <f t="shared" ref="C55" si="29">+#REF!</f>
        <v>#REF!</v>
      </c>
      <c r="D55" s="470"/>
      <c r="E55" s="94">
        <f t="shared" si="2"/>
        <v>0</v>
      </c>
      <c r="F55" s="598" t="e">
        <f t="shared" si="7"/>
        <v>#REF!</v>
      </c>
      <c r="G55" s="599"/>
    </row>
    <row r="56" spans="1:7" ht="15.6" x14ac:dyDescent="0.3">
      <c r="A56" s="471" t="s">
        <v>20</v>
      </c>
      <c r="B56" s="472"/>
      <c r="C56" s="469" t="e">
        <f t="shared" ref="C56" si="30">+#REF!</f>
        <v>#REF!</v>
      </c>
      <c r="D56" s="470"/>
      <c r="E56" s="94">
        <f t="shared" si="2"/>
        <v>0</v>
      </c>
      <c r="F56" s="598" t="e">
        <f t="shared" si="7"/>
        <v>#REF!</v>
      </c>
      <c r="G56" s="599"/>
    </row>
    <row r="57" spans="1:7" ht="15.6" x14ac:dyDescent="0.3">
      <c r="A57" s="471" t="s">
        <v>113</v>
      </c>
      <c r="B57" s="472"/>
      <c r="C57" s="469" t="e">
        <f t="shared" ref="C57" si="31">+#REF!</f>
        <v>#REF!</v>
      </c>
      <c r="D57" s="470"/>
      <c r="E57" s="94">
        <f t="shared" si="2"/>
        <v>0</v>
      </c>
      <c r="F57" s="598" t="e">
        <f t="shared" si="7"/>
        <v>#REF!</v>
      </c>
      <c r="G57" s="599"/>
    </row>
    <row r="58" spans="1:7" ht="15.6" x14ac:dyDescent="0.3">
      <c r="A58" s="471" t="s">
        <v>21</v>
      </c>
      <c r="B58" s="472"/>
      <c r="C58" s="469" t="e">
        <f t="shared" ref="C58" si="32">+#REF!</f>
        <v>#REF!</v>
      </c>
      <c r="D58" s="470"/>
      <c r="E58" s="94">
        <f t="shared" si="2"/>
        <v>0</v>
      </c>
      <c r="F58" s="598" t="e">
        <f t="shared" si="7"/>
        <v>#REF!</v>
      </c>
      <c r="G58" s="599"/>
    </row>
    <row r="59" spans="1:7" ht="15.6" x14ac:dyDescent="0.3">
      <c r="A59" s="471" t="s">
        <v>22</v>
      </c>
      <c r="B59" s="472"/>
      <c r="C59" s="469" t="e">
        <f t="shared" ref="C59" si="33">+#REF!</f>
        <v>#REF!</v>
      </c>
      <c r="D59" s="470"/>
      <c r="E59" s="94">
        <f t="shared" si="2"/>
        <v>0</v>
      </c>
      <c r="F59" s="598" t="e">
        <f t="shared" si="7"/>
        <v>#REF!</v>
      </c>
      <c r="G59" s="599"/>
    </row>
    <row r="60" spans="1:7" ht="15.6" x14ac:dyDescent="0.3">
      <c r="A60" s="471" t="s">
        <v>24</v>
      </c>
      <c r="B60" s="472"/>
      <c r="C60" s="469" t="e">
        <f t="shared" ref="C60" si="34">+#REF!</f>
        <v>#REF!</v>
      </c>
      <c r="D60" s="470"/>
      <c r="E60" s="94">
        <f t="shared" si="2"/>
        <v>0</v>
      </c>
      <c r="F60" s="598" t="e">
        <f t="shared" si="7"/>
        <v>#REF!</v>
      </c>
      <c r="G60" s="599"/>
    </row>
    <row r="61" spans="1:7" ht="15.6" x14ac:dyDescent="0.3">
      <c r="A61" s="471" t="s">
        <v>25</v>
      </c>
      <c r="B61" s="472"/>
      <c r="C61" s="469" t="e">
        <f t="shared" ref="C61" si="35">+#REF!</f>
        <v>#REF!</v>
      </c>
      <c r="D61" s="470"/>
      <c r="E61" s="94">
        <f t="shared" si="2"/>
        <v>0</v>
      </c>
      <c r="F61" s="598" t="e">
        <f t="shared" si="7"/>
        <v>#REF!</v>
      </c>
      <c r="G61" s="599"/>
    </row>
    <row r="62" spans="1:7" ht="15.6" x14ac:dyDescent="0.3">
      <c r="A62" s="471" t="s">
        <v>114</v>
      </c>
      <c r="B62" s="472"/>
      <c r="C62" s="469" t="e">
        <f t="shared" ref="C62" si="36">+#REF!</f>
        <v>#REF!</v>
      </c>
      <c r="D62" s="470"/>
      <c r="E62" s="94">
        <f t="shared" si="2"/>
        <v>0</v>
      </c>
      <c r="F62" s="598" t="e">
        <f t="shared" si="7"/>
        <v>#REF!</v>
      </c>
      <c r="G62" s="599"/>
    </row>
    <row r="63" spans="1:7" ht="15.6" x14ac:dyDescent="0.3">
      <c r="A63" s="471" t="s">
        <v>115</v>
      </c>
      <c r="B63" s="472"/>
      <c r="C63" s="469" t="e">
        <f t="shared" ref="C63" si="37">+#REF!</f>
        <v>#REF!</v>
      </c>
      <c r="D63" s="470"/>
      <c r="E63" s="94">
        <f t="shared" si="2"/>
        <v>0</v>
      </c>
      <c r="F63" s="598" t="e">
        <f t="shared" si="7"/>
        <v>#REF!</v>
      </c>
      <c r="G63" s="599"/>
    </row>
    <row r="64" spans="1:7" ht="15.6" x14ac:dyDescent="0.3">
      <c r="A64" s="471" t="s">
        <v>70</v>
      </c>
      <c r="B64" s="472"/>
      <c r="C64" s="469" t="e">
        <f t="shared" ref="C64" si="38">+#REF!</f>
        <v>#REF!</v>
      </c>
      <c r="D64" s="470"/>
      <c r="E64" s="94">
        <f t="shared" si="2"/>
        <v>0</v>
      </c>
      <c r="F64" s="598" t="e">
        <f t="shared" si="7"/>
        <v>#REF!</v>
      </c>
      <c r="G64" s="599"/>
    </row>
    <row r="65" spans="1:7" ht="15.6" x14ac:dyDescent="0.3">
      <c r="A65" s="471" t="s">
        <v>116</v>
      </c>
      <c r="B65" s="472"/>
      <c r="C65" s="469" t="e">
        <f t="shared" ref="C65" si="39">+#REF!</f>
        <v>#REF!</v>
      </c>
      <c r="D65" s="470"/>
      <c r="E65" s="94">
        <f t="shared" si="2"/>
        <v>0</v>
      </c>
      <c r="F65" s="598" t="e">
        <f t="shared" si="7"/>
        <v>#REF!</v>
      </c>
      <c r="G65" s="599"/>
    </row>
    <row r="66" spans="1:7" ht="15.6" x14ac:dyDescent="0.3">
      <c r="A66" s="471" t="s">
        <v>117</v>
      </c>
      <c r="B66" s="472"/>
      <c r="C66" s="469" t="e">
        <f t="shared" ref="C66" si="40">+#REF!</f>
        <v>#REF!</v>
      </c>
      <c r="D66" s="470"/>
      <c r="E66" s="94">
        <f t="shared" si="2"/>
        <v>0</v>
      </c>
      <c r="F66" s="598" t="e">
        <f t="shared" si="7"/>
        <v>#REF!</v>
      </c>
      <c r="G66" s="599"/>
    </row>
    <row r="67" spans="1:7" ht="15.6" x14ac:dyDescent="0.3">
      <c r="A67" s="467" t="s">
        <v>101</v>
      </c>
      <c r="B67" s="468"/>
      <c r="C67" s="469" t="e">
        <f t="shared" ref="C67" si="41">+#REF!</f>
        <v>#REF!</v>
      </c>
      <c r="D67" s="470"/>
      <c r="E67" s="94">
        <f t="shared" si="2"/>
        <v>0</v>
      </c>
      <c r="F67" s="598" t="e">
        <f t="shared" si="7"/>
        <v>#REF!</v>
      </c>
      <c r="G67" s="599"/>
    </row>
    <row r="68" spans="1:7" ht="15.6" x14ac:dyDescent="0.3">
      <c r="A68" s="467" t="s">
        <v>203</v>
      </c>
      <c r="B68" s="468"/>
      <c r="C68" s="469" t="e">
        <f t="shared" ref="C68" si="42">+#REF!</f>
        <v>#REF!</v>
      </c>
      <c r="D68" s="470"/>
      <c r="E68" s="94">
        <f t="shared" si="2"/>
        <v>0</v>
      </c>
      <c r="F68" s="598" t="e">
        <f t="shared" si="7"/>
        <v>#REF!</v>
      </c>
      <c r="G68" s="599"/>
    </row>
    <row r="69" spans="1:7" ht="15.6" x14ac:dyDescent="0.3">
      <c r="A69" s="471" t="s">
        <v>118</v>
      </c>
      <c r="B69" s="472"/>
      <c r="C69" s="469" t="e">
        <f t="shared" ref="C69" si="43">+#REF!</f>
        <v>#REF!</v>
      </c>
      <c r="D69" s="470"/>
      <c r="E69" s="94">
        <f t="shared" si="2"/>
        <v>0</v>
      </c>
      <c r="F69" s="598" t="e">
        <f t="shared" si="7"/>
        <v>#REF!</v>
      </c>
      <c r="G69" s="599"/>
    </row>
    <row r="70" spans="1:7" ht="15.6" x14ac:dyDescent="0.3">
      <c r="A70" s="471" t="s">
        <v>206</v>
      </c>
      <c r="B70" s="472"/>
      <c r="C70" s="469" t="e">
        <f t="shared" ref="C70" si="44">+#REF!</f>
        <v>#REF!</v>
      </c>
      <c r="D70" s="470"/>
      <c r="E70" s="94">
        <f t="shared" si="2"/>
        <v>0</v>
      </c>
      <c r="F70" s="598" t="e">
        <f t="shared" si="7"/>
        <v>#REF!</v>
      </c>
      <c r="G70" s="599"/>
    </row>
    <row r="71" spans="1:7" ht="15.6" x14ac:dyDescent="0.3">
      <c r="A71" s="471" t="s">
        <v>100</v>
      </c>
      <c r="B71" s="472"/>
      <c r="C71" s="469" t="e">
        <f t="shared" ref="C71" si="45">+#REF!</f>
        <v>#REF!</v>
      </c>
      <c r="D71" s="470"/>
      <c r="E71" s="94">
        <f t="shared" si="2"/>
        <v>0</v>
      </c>
      <c r="F71" s="598" t="e">
        <f>C71*E71</f>
        <v>#REF!</v>
      </c>
      <c r="G71" s="599"/>
    </row>
    <row r="72" spans="1:7" ht="15.6" x14ac:dyDescent="0.3">
      <c r="A72" s="467" t="s">
        <v>214</v>
      </c>
      <c r="B72" s="468"/>
      <c r="C72" s="469" t="e">
        <f t="shared" ref="C72" si="46">+#REF!</f>
        <v>#REF!</v>
      </c>
      <c r="D72" s="470"/>
      <c r="E72" s="94">
        <f t="shared" si="2"/>
        <v>0</v>
      </c>
      <c r="F72" s="598" t="e">
        <f>C72*E72</f>
        <v>#REF!</v>
      </c>
      <c r="G72" s="599"/>
    </row>
    <row r="73" spans="1:7" ht="15.6" x14ac:dyDescent="0.3">
      <c r="A73" s="471" t="s">
        <v>215</v>
      </c>
      <c r="B73" s="472"/>
      <c r="C73" s="469" t="e">
        <f t="shared" ref="C73" si="47">+#REF!</f>
        <v>#REF!</v>
      </c>
      <c r="D73" s="470"/>
      <c r="E73" s="94">
        <f t="shared" si="2"/>
        <v>0</v>
      </c>
      <c r="F73" s="598" t="e">
        <f t="shared" ref="F73:F81" si="48">C73*E73</f>
        <v>#REF!</v>
      </c>
      <c r="G73" s="599"/>
    </row>
    <row r="74" spans="1:7" ht="15.6" x14ac:dyDescent="0.3">
      <c r="A74" s="467" t="s">
        <v>229</v>
      </c>
      <c r="B74" s="468"/>
      <c r="C74" s="469" t="e">
        <f t="shared" ref="C74" si="49">+#REF!</f>
        <v>#REF!</v>
      </c>
      <c r="D74" s="470"/>
      <c r="E74" s="94">
        <f t="shared" si="2"/>
        <v>0</v>
      </c>
      <c r="F74" s="598" t="e">
        <f t="shared" si="48"/>
        <v>#REF!</v>
      </c>
      <c r="G74" s="599"/>
    </row>
    <row r="75" spans="1:7" ht="15.6" x14ac:dyDescent="0.3">
      <c r="A75" s="467" t="s">
        <v>226</v>
      </c>
      <c r="B75" s="468"/>
      <c r="C75" s="469" t="e">
        <f t="shared" ref="C75" si="50">+#REF!</f>
        <v>#REF!</v>
      </c>
      <c r="D75" s="470"/>
      <c r="E75" s="94">
        <f t="shared" si="2"/>
        <v>0</v>
      </c>
      <c r="F75" s="598" t="e">
        <f t="shared" si="48"/>
        <v>#REF!</v>
      </c>
      <c r="G75" s="599"/>
    </row>
    <row r="76" spans="1:7" ht="15.6" x14ac:dyDescent="0.3">
      <c r="A76" s="467" t="s">
        <v>227</v>
      </c>
      <c r="B76" s="468"/>
      <c r="C76" s="469" t="e">
        <f t="shared" ref="C76" si="51">+#REF!</f>
        <v>#REF!</v>
      </c>
      <c r="D76" s="470"/>
      <c r="E76" s="94">
        <f t="shared" si="2"/>
        <v>0</v>
      </c>
      <c r="F76" s="598" t="e">
        <f t="shared" si="48"/>
        <v>#REF!</v>
      </c>
      <c r="G76" s="599"/>
    </row>
    <row r="77" spans="1:7" ht="15.6" x14ac:dyDescent="0.3">
      <c r="A77" s="471" t="s">
        <v>228</v>
      </c>
      <c r="B77" s="472"/>
      <c r="C77" s="469" t="e">
        <f t="shared" ref="C77" si="52">+#REF!</f>
        <v>#REF!</v>
      </c>
      <c r="D77" s="470"/>
      <c r="E77" s="94">
        <f>+L$19</f>
        <v>0</v>
      </c>
      <c r="F77" s="598" t="e">
        <f>C77*E77</f>
        <v>#REF!</v>
      </c>
      <c r="G77" s="599"/>
    </row>
    <row r="78" spans="1:7" ht="15.6" x14ac:dyDescent="0.3">
      <c r="A78" s="471" t="s">
        <v>237</v>
      </c>
      <c r="B78" s="472"/>
      <c r="C78" s="469" t="e">
        <f t="shared" ref="C78" si="53">+#REF!</f>
        <v>#REF!</v>
      </c>
      <c r="D78" s="470"/>
      <c r="E78" s="94">
        <f>+L$19</f>
        <v>0</v>
      </c>
      <c r="F78" s="598" t="e">
        <f>C78*E78</f>
        <v>#REF!</v>
      </c>
      <c r="G78" s="599"/>
    </row>
    <row r="79" spans="1:7" ht="15.6" x14ac:dyDescent="0.3">
      <c r="A79" s="471" t="s">
        <v>241</v>
      </c>
      <c r="B79" s="472"/>
      <c r="C79" s="469" t="e">
        <f t="shared" ref="C79" si="54">+#REF!</f>
        <v>#REF!</v>
      </c>
      <c r="D79" s="470"/>
      <c r="E79" s="94">
        <f>+L$19</f>
        <v>0</v>
      </c>
      <c r="F79" s="598" t="e">
        <f>C79*E79</f>
        <v>#REF!</v>
      </c>
      <c r="G79" s="599"/>
    </row>
    <row r="80" spans="1:7" ht="15.6" x14ac:dyDescent="0.3">
      <c r="A80" s="471" t="s">
        <v>248</v>
      </c>
      <c r="B80" s="472"/>
      <c r="C80" s="469" t="e">
        <f t="shared" ref="C80" si="55">+#REF!</f>
        <v>#REF!</v>
      </c>
      <c r="D80" s="470"/>
      <c r="E80" s="94">
        <f t="shared" ref="E80" si="56">+L$19</f>
        <v>0</v>
      </c>
      <c r="F80" s="598" t="e">
        <f t="shared" ref="F80" si="57">C80*E80</f>
        <v>#REF!</v>
      </c>
      <c r="G80" s="599"/>
    </row>
    <row r="81" spans="1:7" ht="15.6" x14ac:dyDescent="0.3">
      <c r="A81" s="471" t="s">
        <v>255</v>
      </c>
      <c r="B81" s="472"/>
      <c r="C81" s="469" t="e">
        <f t="shared" ref="C81" si="58">+#REF!</f>
        <v>#REF!</v>
      </c>
      <c r="D81" s="470"/>
      <c r="E81" s="94">
        <f t="shared" si="2"/>
        <v>0</v>
      </c>
      <c r="F81" s="598" t="e">
        <f t="shared" si="48"/>
        <v>#REF!</v>
      </c>
      <c r="G81" s="599"/>
    </row>
    <row r="82" spans="1:7" x14ac:dyDescent="0.3">
      <c r="C82" s="144"/>
      <c r="D82" s="144"/>
    </row>
    <row r="83" spans="1:7" ht="15.6" x14ac:dyDescent="0.3">
      <c r="A83" s="95" t="s">
        <v>119</v>
      </c>
      <c r="B83" s="96"/>
      <c r="C83" s="586" t="e">
        <f>SUM(C28:D81)</f>
        <v>#REF!</v>
      </c>
      <c r="D83" s="587"/>
      <c r="F83" s="588" t="e">
        <f>SUM(F28:G81)</f>
        <v>#REF!</v>
      </c>
      <c r="G83" s="589"/>
    </row>
    <row r="85" spans="1:7" ht="15.6" x14ac:dyDescent="0.3">
      <c r="A85" s="590" t="s">
        <v>124</v>
      </c>
      <c r="B85" s="591"/>
      <c r="C85" s="592" t="e">
        <f>+C17+C25+C83</f>
        <v>#REF!</v>
      </c>
      <c r="D85" s="593"/>
      <c r="F85" s="594" t="e">
        <f>+F17+F25+F83</f>
        <v>#REF!</v>
      </c>
      <c r="G85" s="595"/>
    </row>
  </sheetData>
  <mergeCells count="91">
    <mergeCell ref="A4:G4"/>
    <mergeCell ref="A5:G5"/>
    <mergeCell ref="A6:G6"/>
    <mergeCell ref="A7:G7"/>
    <mergeCell ref="A9:B10"/>
    <mergeCell ref="C9:D10"/>
    <mergeCell ref="E9:E10"/>
    <mergeCell ref="F9:G10"/>
    <mergeCell ref="A12:G12"/>
    <mergeCell ref="A14:B14"/>
    <mergeCell ref="C14:D14"/>
    <mergeCell ref="F14:G14"/>
    <mergeCell ref="A15:B15"/>
    <mergeCell ref="C15:D15"/>
    <mergeCell ref="F15:G15"/>
    <mergeCell ref="A17:B17"/>
    <mergeCell ref="C17:D17"/>
    <mergeCell ref="F17:G17"/>
    <mergeCell ref="A19:G19"/>
    <mergeCell ref="A21:B21"/>
    <mergeCell ref="C21:D21"/>
    <mergeCell ref="F21:G21"/>
    <mergeCell ref="F29:G29"/>
    <mergeCell ref="A22:B22"/>
    <mergeCell ref="C22:D22"/>
    <mergeCell ref="F22:G22"/>
    <mergeCell ref="A23:B23"/>
    <mergeCell ref="C23:D23"/>
    <mergeCell ref="F23:G23"/>
    <mergeCell ref="A25:B25"/>
    <mergeCell ref="C25:D25"/>
    <mergeCell ref="F25:G25"/>
    <mergeCell ref="A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53:G5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65:G65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77:G77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A85:B85"/>
    <mergeCell ref="C85:D85"/>
    <mergeCell ref="F85:G85"/>
    <mergeCell ref="F78:G78"/>
    <mergeCell ref="F79:G79"/>
    <mergeCell ref="F80:G80"/>
    <mergeCell ref="F81:G81"/>
    <mergeCell ref="C83:D83"/>
    <mergeCell ref="F83:G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2" zoomScale="66" zoomScaleNormal="66" workbookViewId="0">
      <pane xSplit="1" topLeftCell="B1" activePane="topRight" state="frozen"/>
      <selection activeCell="R13" sqref="R13"/>
      <selection pane="topRight" activeCell="L43" sqref="L43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7" width="11.44140625" style="89"/>
    <col min="8" max="8" width="17.109375" style="89" customWidth="1"/>
    <col min="9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13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3" t="s">
        <v>212</v>
      </c>
      <c r="I15" s="160" t="s">
        <v>78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>
        <v>186</v>
      </c>
      <c r="J16" s="176">
        <f>+G16+H16+I16</f>
        <v>186</v>
      </c>
      <c r="K16" s="250">
        <v>30</v>
      </c>
      <c r="L16" s="251">
        <f>75+50+35+1425+55+30+10+50+50</f>
        <v>1780</v>
      </c>
      <c r="M16" s="252"/>
      <c r="N16" s="256">
        <f>+K16+L16+M16</f>
        <v>1810</v>
      </c>
      <c r="O16" s="235"/>
      <c r="P16" s="234"/>
      <c r="Q16" s="187">
        <f>+P16+O16+N16</f>
        <v>1810</v>
      </c>
      <c r="R16" s="183">
        <f>+Q16+J16+F16</f>
        <v>1996</v>
      </c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>
        <v>186</v>
      </c>
      <c r="J17" s="176">
        <f t="shared" ref="J17:J46" si="1">+G17+H17+I17</f>
        <v>186</v>
      </c>
      <c r="K17" s="250">
        <v>32</v>
      </c>
      <c r="L17" s="251">
        <f>100+50+55+35+30+350+10+50+5+50+1284</f>
        <v>2019</v>
      </c>
      <c r="M17" s="252"/>
      <c r="N17" s="256">
        <f t="shared" ref="N17:N46" si="2">+K17+L17+M17</f>
        <v>2051</v>
      </c>
      <c r="O17" s="213"/>
      <c r="P17" s="214"/>
      <c r="Q17" s="187">
        <f t="shared" ref="Q17:Q46" si="3">+P17+O17+N17</f>
        <v>2051</v>
      </c>
      <c r="R17" s="183">
        <f t="shared" ref="R17:R46" si="4">+Q17+J17+F17</f>
        <v>2237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>
        <v>21</v>
      </c>
      <c r="L18" s="251">
        <f>500+50+1174</f>
        <v>1724</v>
      </c>
      <c r="M18" s="252"/>
      <c r="N18" s="256">
        <f t="shared" si="2"/>
        <v>1745</v>
      </c>
      <c r="O18" s="213"/>
      <c r="P18" s="214"/>
      <c r="Q18" s="187">
        <f t="shared" si="3"/>
        <v>1745</v>
      </c>
      <c r="R18" s="183">
        <f t="shared" si="4"/>
        <v>1745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>
        <v>25</v>
      </c>
      <c r="L19" s="251">
        <f>100+100+200+993</f>
        <v>1393</v>
      </c>
      <c r="M19" s="252"/>
      <c r="N19" s="256">
        <f t="shared" si="2"/>
        <v>1418</v>
      </c>
      <c r="O19" s="213"/>
      <c r="P19" s="214"/>
      <c r="Q19" s="187">
        <f t="shared" si="3"/>
        <v>1418</v>
      </c>
      <c r="R19" s="183">
        <f t="shared" si="4"/>
        <v>1418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>
        <v>186</v>
      </c>
      <c r="J20" s="176">
        <f t="shared" si="1"/>
        <v>186</v>
      </c>
      <c r="K20" s="250">
        <v>32</v>
      </c>
      <c r="L20" s="251">
        <f>65+50+35+55+30+10+50+5+50+1426</f>
        <v>1776</v>
      </c>
      <c r="M20" s="252"/>
      <c r="N20" s="256">
        <f t="shared" si="2"/>
        <v>1808</v>
      </c>
      <c r="O20" s="213"/>
      <c r="P20" s="214"/>
      <c r="Q20" s="187">
        <f t="shared" si="3"/>
        <v>1808</v>
      </c>
      <c r="R20" s="183">
        <f t="shared" si="4"/>
        <v>1994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>
        <v>201</v>
      </c>
      <c r="J21" s="176">
        <f t="shared" si="1"/>
        <v>201</v>
      </c>
      <c r="K21" s="250">
        <v>30</v>
      </c>
      <c r="L21" s="251">
        <f>25+50+30+55+70+35+10+50+50+1381</f>
        <v>1756</v>
      </c>
      <c r="M21" s="252"/>
      <c r="N21" s="256">
        <f t="shared" si="2"/>
        <v>1786</v>
      </c>
      <c r="O21" s="213"/>
      <c r="P21" s="214"/>
      <c r="Q21" s="187">
        <f t="shared" si="3"/>
        <v>1786</v>
      </c>
      <c r="R21" s="183">
        <f t="shared" si="4"/>
        <v>1987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>
        <v>186</v>
      </c>
      <c r="J22" s="176">
        <f t="shared" si="1"/>
        <v>186</v>
      </c>
      <c r="K22" s="250">
        <v>35</v>
      </c>
      <c r="L22" s="251">
        <f>70+50+10+55+30+50+25+50+35+1387</f>
        <v>1762</v>
      </c>
      <c r="M22" s="252"/>
      <c r="N22" s="256">
        <f t="shared" si="2"/>
        <v>1797</v>
      </c>
      <c r="O22" s="213"/>
      <c r="P22" s="214"/>
      <c r="Q22" s="187">
        <f t="shared" si="3"/>
        <v>1797</v>
      </c>
      <c r="R22" s="183">
        <f t="shared" si="4"/>
        <v>1983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>
        <v>186</v>
      </c>
      <c r="J23" s="176">
        <f t="shared" si="1"/>
        <v>186</v>
      </c>
      <c r="K23" s="250">
        <v>38</v>
      </c>
      <c r="L23" s="251">
        <f>85+55+30+25+10+50+50+50+35+1383</f>
        <v>1773</v>
      </c>
      <c r="M23" s="252"/>
      <c r="N23" s="256">
        <f t="shared" si="2"/>
        <v>1811</v>
      </c>
      <c r="O23" s="213"/>
      <c r="P23" s="214"/>
      <c r="Q23" s="187">
        <f t="shared" si="3"/>
        <v>1811</v>
      </c>
      <c r="R23" s="183">
        <f t="shared" si="4"/>
        <v>1997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>
        <v>186</v>
      </c>
      <c r="J24" s="176">
        <f t="shared" si="1"/>
        <v>186</v>
      </c>
      <c r="K24" s="250">
        <v>30</v>
      </c>
      <c r="L24" s="251">
        <f>65+50+25+10+5+50+35+55+30+50+1400</f>
        <v>1775</v>
      </c>
      <c r="M24" s="252"/>
      <c r="N24" s="256">
        <f t="shared" si="2"/>
        <v>1805</v>
      </c>
      <c r="O24" s="213"/>
      <c r="P24" s="214"/>
      <c r="Q24" s="187">
        <f t="shared" si="3"/>
        <v>1805</v>
      </c>
      <c r="R24" s="183">
        <f t="shared" si="4"/>
        <v>1991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16</v>
      </c>
      <c r="L25" s="251">
        <f>300+300+830+40</f>
        <v>1470</v>
      </c>
      <c r="M25" s="252"/>
      <c r="N25" s="256">
        <f t="shared" si="2"/>
        <v>1486</v>
      </c>
      <c r="O25" s="213"/>
      <c r="P25" s="214"/>
      <c r="Q25" s="187">
        <f t="shared" si="3"/>
        <v>1486</v>
      </c>
      <c r="R25" s="183">
        <f t="shared" si="4"/>
        <v>1486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>
        <v>10</v>
      </c>
      <c r="L26" s="251">
        <f>150+829</f>
        <v>979</v>
      </c>
      <c r="M26" s="252"/>
      <c r="N26" s="256">
        <f t="shared" si="2"/>
        <v>989</v>
      </c>
      <c r="O26" s="213"/>
      <c r="P26" s="214"/>
      <c r="Q26" s="187">
        <f t="shared" si="3"/>
        <v>989</v>
      </c>
      <c r="R26" s="183">
        <f t="shared" si="4"/>
        <v>989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>
        <v>186</v>
      </c>
      <c r="J27" s="176">
        <f t="shared" si="1"/>
        <v>186</v>
      </c>
      <c r="K27" s="250">
        <v>30</v>
      </c>
      <c r="L27" s="251">
        <f>50+72+25+10+30+55+35+50+50+1389</f>
        <v>1766</v>
      </c>
      <c r="M27" s="252"/>
      <c r="N27" s="256">
        <f t="shared" si="2"/>
        <v>1796</v>
      </c>
      <c r="O27" s="213"/>
      <c r="P27" s="214"/>
      <c r="Q27" s="187">
        <f t="shared" si="3"/>
        <v>1796</v>
      </c>
      <c r="R27" s="183">
        <f t="shared" si="4"/>
        <v>1982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>
        <v>186</v>
      </c>
      <c r="J28" s="176">
        <f t="shared" si="1"/>
        <v>186</v>
      </c>
      <c r="K28" s="250">
        <v>32</v>
      </c>
      <c r="L28" s="251">
        <f>82+30+55+50+25+50+50+35+10+1386</f>
        <v>1773</v>
      </c>
      <c r="M28" s="252"/>
      <c r="N28" s="256">
        <f t="shared" si="2"/>
        <v>1805</v>
      </c>
      <c r="O28" s="213"/>
      <c r="P28" s="214"/>
      <c r="Q28" s="187">
        <f t="shared" si="3"/>
        <v>1805</v>
      </c>
      <c r="R28" s="183">
        <f t="shared" si="4"/>
        <v>1991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>
        <v>186</v>
      </c>
      <c r="J29" s="176">
        <f t="shared" si="1"/>
        <v>186</v>
      </c>
      <c r="K29" s="250">
        <v>30</v>
      </c>
      <c r="L29" s="251">
        <f>75+50+55+30+35+25+10+50+50+1270</f>
        <v>1650</v>
      </c>
      <c r="M29" s="252"/>
      <c r="N29" s="256">
        <f t="shared" si="2"/>
        <v>1680</v>
      </c>
      <c r="O29" s="213"/>
      <c r="P29" s="214"/>
      <c r="Q29" s="187">
        <f t="shared" si="3"/>
        <v>1680</v>
      </c>
      <c r="R29" s="183">
        <f t="shared" si="4"/>
        <v>1866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>
        <v>186</v>
      </c>
      <c r="J30" s="176">
        <f t="shared" si="1"/>
        <v>186</v>
      </c>
      <c r="K30" s="250">
        <v>32</v>
      </c>
      <c r="L30" s="251">
        <f>65+50+35+30+55+25+50+55+10+50+1349</f>
        <v>1774</v>
      </c>
      <c r="M30" s="252"/>
      <c r="N30" s="256">
        <f t="shared" si="2"/>
        <v>1806</v>
      </c>
      <c r="O30" s="213"/>
      <c r="P30" s="214"/>
      <c r="Q30" s="187">
        <f t="shared" si="3"/>
        <v>1806</v>
      </c>
      <c r="R30" s="183">
        <f t="shared" si="4"/>
        <v>1992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>
        <v>186</v>
      </c>
      <c r="J31" s="176">
        <f t="shared" si="1"/>
        <v>186</v>
      </c>
      <c r="K31" s="250">
        <v>30</v>
      </c>
      <c r="L31" s="251">
        <f>71+10+55+30+50+35+50+50+1421</f>
        <v>1772</v>
      </c>
      <c r="M31" s="252"/>
      <c r="N31" s="256">
        <f t="shared" si="2"/>
        <v>1802</v>
      </c>
      <c r="O31" s="213"/>
      <c r="P31" s="214"/>
      <c r="Q31" s="187">
        <f t="shared" si="3"/>
        <v>1802</v>
      </c>
      <c r="R31" s="183">
        <f t="shared" si="4"/>
        <v>1988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12</v>
      </c>
      <c r="L32" s="251">
        <f>851+25+200+75+40+300</f>
        <v>1491</v>
      </c>
      <c r="M32" s="252"/>
      <c r="N32" s="256">
        <f t="shared" si="2"/>
        <v>1503</v>
      </c>
      <c r="O32" s="213"/>
      <c r="P32" s="214"/>
      <c r="Q32" s="187">
        <f t="shared" si="3"/>
        <v>1503</v>
      </c>
      <c r="R32" s="183">
        <f t="shared" si="4"/>
        <v>1503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>
        <v>10</v>
      </c>
      <c r="L33" s="251">
        <f>90+703</f>
        <v>793</v>
      </c>
      <c r="M33" s="252"/>
      <c r="N33" s="256">
        <f t="shared" si="2"/>
        <v>803</v>
      </c>
      <c r="O33" s="213"/>
      <c r="P33" s="214"/>
      <c r="Q33" s="187">
        <f t="shared" si="3"/>
        <v>803</v>
      </c>
      <c r="R33" s="183">
        <f t="shared" si="4"/>
        <v>803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>
        <v>66</v>
      </c>
      <c r="J34" s="176">
        <f t="shared" si="1"/>
        <v>66</v>
      </c>
      <c r="K34" s="250">
        <v>17</v>
      </c>
      <c r="L34" s="251">
        <f>65+117+1255</f>
        <v>1437</v>
      </c>
      <c r="M34" s="252"/>
      <c r="N34" s="256">
        <f t="shared" si="2"/>
        <v>1454</v>
      </c>
      <c r="O34" s="213"/>
      <c r="P34" s="214"/>
      <c r="Q34" s="187">
        <f t="shared" si="3"/>
        <v>1454</v>
      </c>
      <c r="R34" s="183">
        <f t="shared" si="4"/>
        <v>1520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>
        <v>186</v>
      </c>
      <c r="J35" s="176">
        <f t="shared" si="1"/>
        <v>186</v>
      </c>
      <c r="K35" s="250">
        <v>28</v>
      </c>
      <c r="L35" s="251">
        <f>78+50+35+35+50+50+10+260+80+980</f>
        <v>1628</v>
      </c>
      <c r="M35" s="252"/>
      <c r="N35" s="256">
        <f t="shared" si="2"/>
        <v>1656</v>
      </c>
      <c r="O35" s="213"/>
      <c r="P35" s="214"/>
      <c r="Q35" s="187">
        <f t="shared" si="3"/>
        <v>1656</v>
      </c>
      <c r="R35" s="183">
        <f t="shared" si="4"/>
        <v>1842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>
        <v>186</v>
      </c>
      <c r="J36" s="176">
        <f t="shared" si="1"/>
        <v>186</v>
      </c>
      <c r="K36" s="250">
        <v>33</v>
      </c>
      <c r="L36" s="251">
        <f>82+25+50+50+35+260+260+50+10+1078</f>
        <v>1900</v>
      </c>
      <c r="M36" s="252"/>
      <c r="N36" s="256">
        <f t="shared" si="2"/>
        <v>1933</v>
      </c>
      <c r="O36" s="213"/>
      <c r="P36" s="214"/>
      <c r="Q36" s="187">
        <f t="shared" si="3"/>
        <v>1933</v>
      </c>
      <c r="R36" s="183">
        <f t="shared" si="4"/>
        <v>2119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>
        <v>186</v>
      </c>
      <c r="J37" s="176">
        <f t="shared" si="1"/>
        <v>186</v>
      </c>
      <c r="K37" s="250">
        <v>28</v>
      </c>
      <c r="L37" s="251">
        <f>71+25+50+10+50+260+35+50+65+60+1118</f>
        <v>1794</v>
      </c>
      <c r="M37" s="252"/>
      <c r="N37" s="256">
        <f t="shared" si="2"/>
        <v>1822</v>
      </c>
      <c r="O37" s="213"/>
      <c r="P37" s="214"/>
      <c r="Q37" s="187">
        <f t="shared" si="3"/>
        <v>1822</v>
      </c>
      <c r="R37" s="183">
        <f t="shared" si="4"/>
        <v>2008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>
        <v>191</v>
      </c>
      <c r="J38" s="176">
        <f t="shared" si="1"/>
        <v>191</v>
      </c>
      <c r="K38" s="250">
        <v>25</v>
      </c>
      <c r="L38" s="251">
        <f>71+10+50+50+35+260+50+25+1163+60</f>
        <v>1774</v>
      </c>
      <c r="M38" s="252"/>
      <c r="N38" s="256">
        <f t="shared" si="2"/>
        <v>1799</v>
      </c>
      <c r="O38" s="213"/>
      <c r="P38" s="214"/>
      <c r="Q38" s="187">
        <f t="shared" si="3"/>
        <v>1799</v>
      </c>
      <c r="R38" s="183">
        <f t="shared" si="4"/>
        <v>1990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12</v>
      </c>
      <c r="L39" s="251">
        <f>60+150+260+1066</f>
        <v>1536</v>
      </c>
      <c r="M39" s="252"/>
      <c r="N39" s="256">
        <f t="shared" si="2"/>
        <v>1548</v>
      </c>
      <c r="O39" s="213"/>
      <c r="P39" s="214"/>
      <c r="Q39" s="187">
        <f t="shared" si="3"/>
        <v>1548</v>
      </c>
      <c r="R39" s="183">
        <f t="shared" si="4"/>
        <v>1548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10</v>
      </c>
      <c r="L40" s="251">
        <f>300+1179</f>
        <v>1479</v>
      </c>
      <c r="M40" s="252"/>
      <c r="N40" s="256">
        <f t="shared" si="2"/>
        <v>1489</v>
      </c>
      <c r="O40" s="213"/>
      <c r="P40" s="214"/>
      <c r="Q40" s="187">
        <f t="shared" si="3"/>
        <v>1489</v>
      </c>
      <c r="R40" s="183">
        <f t="shared" si="4"/>
        <v>1489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>
        <v>191</v>
      </c>
      <c r="J41" s="176">
        <f t="shared" si="1"/>
        <v>191</v>
      </c>
      <c r="K41" s="250">
        <v>30</v>
      </c>
      <c r="L41" s="251">
        <f>71+50+50+10+35+25+50+60+260+1201</f>
        <v>1812</v>
      </c>
      <c r="M41" s="252"/>
      <c r="N41" s="256">
        <f t="shared" si="2"/>
        <v>1842</v>
      </c>
      <c r="O41" s="213"/>
      <c r="P41" s="214"/>
      <c r="Q41" s="187">
        <f t="shared" si="3"/>
        <v>1842</v>
      </c>
      <c r="R41" s="183">
        <f t="shared" si="4"/>
        <v>2033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>
        <v>191</v>
      </c>
      <c r="J42" s="176">
        <f t="shared" si="1"/>
        <v>191</v>
      </c>
      <c r="K42" s="250">
        <v>32</v>
      </c>
      <c r="L42" s="251">
        <f>50+10+72+20+30+50+50+260+35+25+1228</f>
        <v>1830</v>
      </c>
      <c r="M42" s="252"/>
      <c r="N42" s="256">
        <f t="shared" si="2"/>
        <v>1862</v>
      </c>
      <c r="O42" s="213"/>
      <c r="P42" s="214"/>
      <c r="Q42" s="187">
        <f t="shared" si="3"/>
        <v>1862</v>
      </c>
      <c r="R42" s="183">
        <f t="shared" si="4"/>
        <v>2053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>
        <v>191</v>
      </c>
      <c r="J43" s="176">
        <f t="shared" si="1"/>
        <v>191</v>
      </c>
      <c r="K43" s="250">
        <v>34</v>
      </c>
      <c r="L43" s="251">
        <f>20+30+50+35+72+50+260+60+25+50+10+1160</f>
        <v>1822</v>
      </c>
      <c r="M43" s="252"/>
      <c r="N43" s="256">
        <f t="shared" si="2"/>
        <v>1856</v>
      </c>
      <c r="O43" s="213"/>
      <c r="P43" s="214"/>
      <c r="Q43" s="187">
        <f t="shared" si="3"/>
        <v>1856</v>
      </c>
      <c r="R43" s="183">
        <f t="shared" si="4"/>
        <v>2047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>
        <v>191</v>
      </c>
      <c r="J44" s="176">
        <f t="shared" si="1"/>
        <v>191</v>
      </c>
      <c r="K44" s="250">
        <v>33</v>
      </c>
      <c r="L44" s="251">
        <f>80+50+30+10+35+60+50+50+25+260+1067</f>
        <v>1717</v>
      </c>
      <c r="M44" s="252"/>
      <c r="N44" s="256">
        <f t="shared" si="2"/>
        <v>1750</v>
      </c>
      <c r="O44" s="213"/>
      <c r="P44" s="214"/>
      <c r="Q44" s="187">
        <f t="shared" si="3"/>
        <v>1750</v>
      </c>
      <c r="R44" s="183">
        <f t="shared" si="4"/>
        <v>1941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>
        <v>191</v>
      </c>
      <c r="J45" s="176">
        <f t="shared" si="1"/>
        <v>191</v>
      </c>
      <c r="K45" s="250">
        <v>32</v>
      </c>
      <c r="L45" s="251">
        <f>78+50+30+25+50+10+260+60+1136+50</f>
        <v>1749</v>
      </c>
      <c r="M45" s="252"/>
      <c r="N45" s="256">
        <f t="shared" si="2"/>
        <v>1781</v>
      </c>
      <c r="O45" s="213"/>
      <c r="P45" s="214"/>
      <c r="Q45" s="187">
        <f t="shared" si="3"/>
        <v>1781</v>
      </c>
      <c r="R45" s="183">
        <f t="shared" si="4"/>
        <v>1972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4017</v>
      </c>
      <c r="J48" s="175">
        <f>SUM(J16:J46)</f>
        <v>4017</v>
      </c>
      <c r="K48" s="261">
        <f t="shared" si="5"/>
        <v>789</v>
      </c>
      <c r="L48" s="259">
        <f t="shared" si="5"/>
        <v>49704</v>
      </c>
      <c r="M48" s="260">
        <f t="shared" si="5"/>
        <v>0</v>
      </c>
      <c r="N48" s="258">
        <f>SUM(N16:N46)</f>
        <v>50493</v>
      </c>
      <c r="O48" s="195">
        <f t="shared" si="5"/>
        <v>0</v>
      </c>
      <c r="P48" s="195">
        <f t="shared" si="5"/>
        <v>0</v>
      </c>
      <c r="Q48" s="194">
        <f>SUM(Q16:Q46)</f>
        <v>50493</v>
      </c>
      <c r="R48" s="184">
        <f>SUM(R16:R46)</f>
        <v>54510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1" zoomScale="66" zoomScaleNormal="66" workbookViewId="0">
      <pane xSplit="1" topLeftCell="B1" activePane="topRight" state="frozen"/>
      <selection activeCell="R13" sqref="R13"/>
      <selection pane="topRight" activeCell="M34" sqref="M3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2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79</v>
      </c>
      <c r="H15" s="161" t="s">
        <v>207</v>
      </c>
      <c r="I15" s="162" t="s">
        <v>211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>
        <v>58</v>
      </c>
      <c r="H16" s="211"/>
      <c r="I16" s="212"/>
      <c r="J16" s="176">
        <f>+G16+H16+I16</f>
        <v>58</v>
      </c>
      <c r="K16" s="250">
        <v>24</v>
      </c>
      <c r="L16" s="251">
        <f>10+30+25+35+1278+25+15+10</f>
        <v>1428</v>
      </c>
      <c r="M16" s="252"/>
      <c r="N16" s="256">
        <f>+K16+L16+M16</f>
        <v>1452</v>
      </c>
      <c r="O16" s="235"/>
      <c r="P16" s="234"/>
      <c r="Q16" s="187">
        <f>+P16+O16+N16</f>
        <v>1452</v>
      </c>
      <c r="R16" s="183">
        <f>+Q16+J16+F16</f>
        <v>1510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>
        <v>58</v>
      </c>
      <c r="H17" s="211"/>
      <c r="I17" s="212"/>
      <c r="J17" s="176">
        <f t="shared" ref="J17:J46" si="1">+G17+H17+I17</f>
        <v>58</v>
      </c>
      <c r="K17" s="250">
        <v>24</v>
      </c>
      <c r="L17" s="251">
        <f>10+35+25+30+1285+15+25+10</f>
        <v>1435</v>
      </c>
      <c r="M17" s="252"/>
      <c r="N17" s="256">
        <f t="shared" ref="N17:N46" si="2">+K17+L17+M17</f>
        <v>1459</v>
      </c>
      <c r="O17" s="213"/>
      <c r="P17" s="214"/>
      <c r="Q17" s="187">
        <f t="shared" ref="Q17:Q46" si="3">+P17+O17+N17</f>
        <v>1459</v>
      </c>
      <c r="R17" s="183">
        <f t="shared" ref="R17:R46" si="4">+Q17+J17+F17</f>
        <v>1517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>
        <v>58</v>
      </c>
      <c r="H20" s="211"/>
      <c r="I20" s="212"/>
      <c r="J20" s="176">
        <f t="shared" si="1"/>
        <v>58</v>
      </c>
      <c r="K20" s="250">
        <v>24</v>
      </c>
      <c r="L20" s="251">
        <f>10+35+30+25+1187+25+15+10</f>
        <v>1337</v>
      </c>
      <c r="M20" s="252"/>
      <c r="N20" s="256">
        <f t="shared" si="2"/>
        <v>1361</v>
      </c>
      <c r="O20" s="213"/>
      <c r="P20" s="214"/>
      <c r="Q20" s="187">
        <f t="shared" si="3"/>
        <v>1361</v>
      </c>
      <c r="R20" s="183">
        <f t="shared" si="4"/>
        <v>1419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>
        <v>58</v>
      </c>
      <c r="H21" s="211"/>
      <c r="I21" s="212"/>
      <c r="J21" s="176">
        <f t="shared" si="1"/>
        <v>58</v>
      </c>
      <c r="K21" s="250">
        <v>24</v>
      </c>
      <c r="L21" s="251">
        <f>10+35+30+25+1280+25+10+15</f>
        <v>1430</v>
      </c>
      <c r="M21" s="252"/>
      <c r="N21" s="256">
        <f t="shared" si="2"/>
        <v>1454</v>
      </c>
      <c r="O21" s="213"/>
      <c r="P21" s="214"/>
      <c r="Q21" s="187">
        <f t="shared" si="3"/>
        <v>1454</v>
      </c>
      <c r="R21" s="183">
        <f t="shared" si="4"/>
        <v>1512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>
        <v>58</v>
      </c>
      <c r="H22" s="211"/>
      <c r="I22" s="212"/>
      <c r="J22" s="176">
        <f t="shared" si="1"/>
        <v>58</v>
      </c>
      <c r="K22" s="250">
        <v>24</v>
      </c>
      <c r="L22" s="251">
        <f>10+35+30+25+1298+25+15+10</f>
        <v>1448</v>
      </c>
      <c r="M22" s="252"/>
      <c r="N22" s="256">
        <f t="shared" si="2"/>
        <v>1472</v>
      </c>
      <c r="O22" s="213"/>
      <c r="P22" s="214"/>
      <c r="Q22" s="187">
        <f t="shared" si="3"/>
        <v>1472</v>
      </c>
      <c r="R22" s="183">
        <f t="shared" si="4"/>
        <v>1530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>
        <v>58</v>
      </c>
      <c r="H23" s="211"/>
      <c r="I23" s="212"/>
      <c r="J23" s="176">
        <f t="shared" si="1"/>
        <v>58</v>
      </c>
      <c r="K23" s="250">
        <v>24</v>
      </c>
      <c r="L23" s="251">
        <f>10+35+30+25+1180+25+15+10</f>
        <v>1330</v>
      </c>
      <c r="M23" s="252"/>
      <c r="N23" s="256">
        <f t="shared" si="2"/>
        <v>1354</v>
      </c>
      <c r="O23" s="213"/>
      <c r="P23" s="214"/>
      <c r="Q23" s="187">
        <f t="shared" si="3"/>
        <v>1354</v>
      </c>
      <c r="R23" s="183">
        <f t="shared" si="4"/>
        <v>1412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>
        <v>58</v>
      </c>
      <c r="H24" s="211">
        <f>150+150</f>
        <v>300</v>
      </c>
      <c r="I24" s="212"/>
      <c r="J24" s="176">
        <f t="shared" si="1"/>
        <v>358</v>
      </c>
      <c r="K24" s="250">
        <v>30</v>
      </c>
      <c r="L24" s="251">
        <f>24+35+25+25+1360+10+10+15</f>
        <v>1504</v>
      </c>
      <c r="M24" s="252"/>
      <c r="N24" s="256">
        <f t="shared" si="2"/>
        <v>1534</v>
      </c>
      <c r="O24" s="213"/>
      <c r="P24" s="214"/>
      <c r="Q24" s="187">
        <f t="shared" si="3"/>
        <v>1534</v>
      </c>
      <c r="R24" s="183">
        <f t="shared" si="4"/>
        <v>1892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>
        <v>20</v>
      </c>
      <c r="L25" s="251">
        <v>300</v>
      </c>
      <c r="M25" s="252"/>
      <c r="N25" s="256">
        <f t="shared" si="2"/>
        <v>320</v>
      </c>
      <c r="O25" s="213"/>
      <c r="P25" s="214"/>
      <c r="Q25" s="187">
        <f t="shared" si="3"/>
        <v>320</v>
      </c>
      <c r="R25" s="183">
        <f t="shared" si="4"/>
        <v>320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>
        <v>300</v>
      </c>
      <c r="M26" s="252"/>
      <c r="N26" s="256">
        <f t="shared" si="2"/>
        <v>300</v>
      </c>
      <c r="O26" s="213"/>
      <c r="P26" s="214"/>
      <c r="Q26" s="187">
        <f t="shared" si="3"/>
        <v>300</v>
      </c>
      <c r="R26" s="183">
        <f t="shared" si="4"/>
        <v>300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>
        <v>58</v>
      </c>
      <c r="H27" s="211"/>
      <c r="I27" s="212"/>
      <c r="J27" s="176">
        <f t="shared" si="1"/>
        <v>58</v>
      </c>
      <c r="K27" s="250">
        <v>24</v>
      </c>
      <c r="L27" s="251">
        <f>10+30+35+25+1285+25+15+10</f>
        <v>1435</v>
      </c>
      <c r="M27" s="252"/>
      <c r="N27" s="256">
        <f t="shared" si="2"/>
        <v>1459</v>
      </c>
      <c r="O27" s="213"/>
      <c r="P27" s="214"/>
      <c r="Q27" s="187">
        <f t="shared" si="3"/>
        <v>1459</v>
      </c>
      <c r="R27" s="183">
        <f t="shared" si="4"/>
        <v>1517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>
        <v>58</v>
      </c>
      <c r="H28" s="211"/>
      <c r="I28" s="212"/>
      <c r="J28" s="176">
        <f t="shared" si="1"/>
        <v>58</v>
      </c>
      <c r="K28" s="250">
        <v>24</v>
      </c>
      <c r="L28" s="251">
        <f>10+35+30+25+1280+25+15+10</f>
        <v>1430</v>
      </c>
      <c r="M28" s="252"/>
      <c r="N28" s="256">
        <f t="shared" si="2"/>
        <v>1454</v>
      </c>
      <c r="O28" s="213"/>
      <c r="P28" s="214"/>
      <c r="Q28" s="187">
        <f t="shared" si="3"/>
        <v>1454</v>
      </c>
      <c r="R28" s="183">
        <f t="shared" si="4"/>
        <v>1512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>
        <v>58</v>
      </c>
      <c r="H29" s="211"/>
      <c r="I29" s="212"/>
      <c r="J29" s="176">
        <f t="shared" si="1"/>
        <v>58</v>
      </c>
      <c r="K29" s="250">
        <v>24</v>
      </c>
      <c r="L29" s="251">
        <f>10+35+30+25+1300+25+15+10</f>
        <v>1450</v>
      </c>
      <c r="M29" s="252"/>
      <c r="N29" s="256">
        <f t="shared" si="2"/>
        <v>1474</v>
      </c>
      <c r="O29" s="213"/>
      <c r="P29" s="214"/>
      <c r="Q29" s="187">
        <f t="shared" si="3"/>
        <v>1474</v>
      </c>
      <c r="R29" s="183">
        <f t="shared" si="4"/>
        <v>1532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>
        <v>58</v>
      </c>
      <c r="H30" s="211"/>
      <c r="I30" s="212"/>
      <c r="J30" s="176">
        <f t="shared" si="1"/>
        <v>58</v>
      </c>
      <c r="K30" s="250">
        <v>24</v>
      </c>
      <c r="L30" s="251">
        <f>10+35+30+25+1300+25+15+10</f>
        <v>1450</v>
      </c>
      <c r="M30" s="252"/>
      <c r="N30" s="256">
        <f t="shared" si="2"/>
        <v>1474</v>
      </c>
      <c r="O30" s="213"/>
      <c r="P30" s="214"/>
      <c r="Q30" s="187">
        <f t="shared" si="3"/>
        <v>1474</v>
      </c>
      <c r="R30" s="183">
        <f t="shared" si="4"/>
        <v>1532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>
        <v>58</v>
      </c>
      <c r="H31" s="211"/>
      <c r="I31" s="212"/>
      <c r="J31" s="176">
        <f t="shared" si="1"/>
        <v>58</v>
      </c>
      <c r="K31" s="250">
        <v>24</v>
      </c>
      <c r="L31" s="251">
        <f>10+30+35+25+1295+25+15+10</f>
        <v>1445</v>
      </c>
      <c r="M31" s="252"/>
      <c r="N31" s="256">
        <f t="shared" si="2"/>
        <v>1469</v>
      </c>
      <c r="O31" s="213"/>
      <c r="P31" s="214"/>
      <c r="Q31" s="187">
        <f t="shared" si="3"/>
        <v>1469</v>
      </c>
      <c r="R31" s="183">
        <f t="shared" si="4"/>
        <v>1527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14</v>
      </c>
      <c r="L34" s="251">
        <f>1350+35+202</f>
        <v>1587</v>
      </c>
      <c r="M34" s="252"/>
      <c r="N34" s="256">
        <f t="shared" si="2"/>
        <v>1601</v>
      </c>
      <c r="O34" s="213"/>
      <c r="P34" s="214"/>
      <c r="Q34" s="187">
        <f t="shared" si="3"/>
        <v>1601</v>
      </c>
      <c r="R34" s="183">
        <f t="shared" si="4"/>
        <v>1601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>
        <v>58</v>
      </c>
      <c r="H35" s="211"/>
      <c r="I35" s="212"/>
      <c r="J35" s="176">
        <f t="shared" si="1"/>
        <v>58</v>
      </c>
      <c r="K35" s="250">
        <v>24</v>
      </c>
      <c r="L35" s="251">
        <f>10+25+30+25+1285+35+10+15</f>
        <v>1435</v>
      </c>
      <c r="M35" s="252"/>
      <c r="N35" s="256">
        <f t="shared" si="2"/>
        <v>1459</v>
      </c>
      <c r="O35" s="213"/>
      <c r="P35" s="214"/>
      <c r="Q35" s="187">
        <f t="shared" si="3"/>
        <v>1459</v>
      </c>
      <c r="R35" s="183">
        <f t="shared" si="4"/>
        <v>1517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>
        <v>58</v>
      </c>
      <c r="H36" s="211"/>
      <c r="I36" s="212"/>
      <c r="J36" s="176">
        <f t="shared" si="1"/>
        <v>58</v>
      </c>
      <c r="K36" s="250">
        <v>24</v>
      </c>
      <c r="L36" s="251">
        <f>10+30+35+25+1295+25+15+10</f>
        <v>1445</v>
      </c>
      <c r="M36" s="252"/>
      <c r="N36" s="256">
        <f t="shared" si="2"/>
        <v>1469</v>
      </c>
      <c r="O36" s="213"/>
      <c r="P36" s="214"/>
      <c r="Q36" s="187">
        <f t="shared" si="3"/>
        <v>1469</v>
      </c>
      <c r="R36" s="183">
        <f t="shared" si="4"/>
        <v>1527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>
        <v>58</v>
      </c>
      <c r="H37" s="211"/>
      <c r="I37" s="212"/>
      <c r="J37" s="176">
        <f t="shared" si="1"/>
        <v>58</v>
      </c>
      <c r="K37" s="250">
        <v>24</v>
      </c>
      <c r="L37" s="251">
        <f>10+25+25+10+1305+35+30+15</f>
        <v>1455</v>
      </c>
      <c r="M37" s="252"/>
      <c r="N37" s="256">
        <f t="shared" si="2"/>
        <v>1479</v>
      </c>
      <c r="O37" s="213"/>
      <c r="P37" s="214"/>
      <c r="Q37" s="187">
        <f t="shared" si="3"/>
        <v>1479</v>
      </c>
      <c r="R37" s="183">
        <f t="shared" si="4"/>
        <v>1537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>
        <v>58</v>
      </c>
      <c r="H38" s="211"/>
      <c r="I38" s="212"/>
      <c r="J38" s="176">
        <f t="shared" si="1"/>
        <v>58</v>
      </c>
      <c r="K38" s="250">
        <v>24</v>
      </c>
      <c r="L38" s="251">
        <f>10+25+25+15+1297+35+30+10</f>
        <v>1447</v>
      </c>
      <c r="M38" s="252"/>
      <c r="N38" s="256">
        <f t="shared" si="2"/>
        <v>1471</v>
      </c>
      <c r="O38" s="213"/>
      <c r="P38" s="214"/>
      <c r="Q38" s="187">
        <f t="shared" si="3"/>
        <v>1471</v>
      </c>
      <c r="R38" s="183">
        <f t="shared" si="4"/>
        <v>1529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/>
      <c r="L40" s="251"/>
      <c r="M40" s="252"/>
      <c r="N40" s="256">
        <f t="shared" si="2"/>
        <v>0</v>
      </c>
      <c r="O40" s="213"/>
      <c r="P40" s="214"/>
      <c r="Q40" s="187">
        <f t="shared" si="3"/>
        <v>0</v>
      </c>
      <c r="R40" s="183">
        <f t="shared" si="4"/>
        <v>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>
        <v>58</v>
      </c>
      <c r="H41" s="211"/>
      <c r="I41" s="212"/>
      <c r="J41" s="176">
        <f t="shared" si="1"/>
        <v>58</v>
      </c>
      <c r="K41" s="250">
        <v>24</v>
      </c>
      <c r="L41" s="251">
        <f>10+30+35+25+1296+25+15+10</f>
        <v>1446</v>
      </c>
      <c r="M41" s="252"/>
      <c r="N41" s="256">
        <f t="shared" si="2"/>
        <v>1470</v>
      </c>
      <c r="O41" s="213"/>
      <c r="P41" s="214"/>
      <c r="Q41" s="187">
        <f t="shared" si="3"/>
        <v>1470</v>
      </c>
      <c r="R41" s="183">
        <f t="shared" si="4"/>
        <v>1528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>
        <v>58</v>
      </c>
      <c r="H42" s="211"/>
      <c r="I42" s="212"/>
      <c r="J42" s="176">
        <f t="shared" si="1"/>
        <v>58</v>
      </c>
      <c r="K42" s="250">
        <v>24</v>
      </c>
      <c r="L42" s="251">
        <f>10+30+35+25+1300+25+10+15</f>
        <v>1450</v>
      </c>
      <c r="M42" s="252"/>
      <c r="N42" s="256">
        <f t="shared" si="2"/>
        <v>1474</v>
      </c>
      <c r="O42" s="213"/>
      <c r="P42" s="214"/>
      <c r="Q42" s="187">
        <f t="shared" si="3"/>
        <v>1474</v>
      </c>
      <c r="R42" s="183">
        <f t="shared" si="4"/>
        <v>1532</v>
      </c>
      <c r="S42" s="215"/>
      <c r="T42" s="215"/>
    </row>
    <row r="43" spans="2:20" ht="15" customHeight="1" thickBot="1" x14ac:dyDescent="0.35">
      <c r="B43" s="26" t="s">
        <v>181</v>
      </c>
      <c r="C43" s="216"/>
      <c r="D43" s="217"/>
      <c r="E43" s="218"/>
      <c r="F43" s="177">
        <f t="shared" si="0"/>
        <v>0</v>
      </c>
      <c r="G43" s="210">
        <v>58</v>
      </c>
      <c r="H43" s="211"/>
      <c r="I43" s="212"/>
      <c r="J43" s="176">
        <f t="shared" si="1"/>
        <v>58</v>
      </c>
      <c r="K43" s="250">
        <v>24</v>
      </c>
      <c r="L43" s="251">
        <f>10+30+35+25+1310+25+15+10</f>
        <v>1460</v>
      </c>
      <c r="M43" s="252"/>
      <c r="N43" s="256">
        <f t="shared" si="2"/>
        <v>1484</v>
      </c>
      <c r="O43" s="213"/>
      <c r="P43" s="214"/>
      <c r="Q43" s="187">
        <f t="shared" si="3"/>
        <v>1484</v>
      </c>
      <c r="R43" s="183">
        <f t="shared" si="4"/>
        <v>1542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>
        <v>58</v>
      </c>
      <c r="H44" s="211"/>
      <c r="I44" s="212"/>
      <c r="J44" s="176">
        <f t="shared" si="1"/>
        <v>58</v>
      </c>
      <c r="K44" s="250">
        <v>24</v>
      </c>
      <c r="L44" s="251">
        <f>10+35+30+25+1308+25+15+10</f>
        <v>1458</v>
      </c>
      <c r="M44" s="252"/>
      <c r="N44" s="256">
        <f t="shared" si="2"/>
        <v>1482</v>
      </c>
      <c r="O44" s="213"/>
      <c r="P44" s="214"/>
      <c r="Q44" s="187">
        <f t="shared" si="3"/>
        <v>1482</v>
      </c>
      <c r="R44" s="183">
        <f t="shared" si="4"/>
        <v>1540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>
        <v>58</v>
      </c>
      <c r="H45" s="211"/>
      <c r="I45" s="212"/>
      <c r="J45" s="176">
        <f t="shared" si="1"/>
        <v>58</v>
      </c>
      <c r="K45" s="250">
        <v>24</v>
      </c>
      <c r="L45" s="251">
        <f>10+35+30+25+1290+25+15+10</f>
        <v>1440</v>
      </c>
      <c r="M45" s="252"/>
      <c r="N45" s="256">
        <f t="shared" si="2"/>
        <v>1464</v>
      </c>
      <c r="O45" s="213"/>
      <c r="P45" s="214"/>
      <c r="Q45" s="187">
        <f t="shared" si="3"/>
        <v>1464</v>
      </c>
      <c r="R45" s="183">
        <f t="shared" si="4"/>
        <v>1522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 t="s">
        <v>38</v>
      </c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1218</v>
      </c>
      <c r="H48" s="181">
        <f t="shared" si="5"/>
        <v>300</v>
      </c>
      <c r="I48" s="182">
        <f t="shared" si="5"/>
        <v>0</v>
      </c>
      <c r="J48" s="175">
        <f>SUM(J16:J46)</f>
        <v>1518</v>
      </c>
      <c r="K48" s="261">
        <f t="shared" si="5"/>
        <v>544</v>
      </c>
      <c r="L48" s="259">
        <f t="shared" si="5"/>
        <v>32345</v>
      </c>
      <c r="M48" s="260">
        <f t="shared" si="5"/>
        <v>0</v>
      </c>
      <c r="N48" s="258">
        <f>SUM(N16:N46)</f>
        <v>32889</v>
      </c>
      <c r="O48" s="195">
        <f t="shared" si="5"/>
        <v>0</v>
      </c>
      <c r="P48" s="195">
        <f t="shared" si="5"/>
        <v>0</v>
      </c>
      <c r="Q48" s="194">
        <f>SUM(Q16:Q46)</f>
        <v>32889</v>
      </c>
      <c r="R48" s="185">
        <f>SUM(R16:R46)</f>
        <v>34407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31" zoomScale="68" zoomScaleNormal="68" workbookViewId="0">
      <pane xSplit="1" topLeftCell="B1" activePane="topRight" state="frozen"/>
      <selection activeCell="R13" sqref="R13"/>
      <selection pane="topRight" activeCell="M34" sqref="M34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3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233</v>
      </c>
      <c r="H15" s="161" t="s">
        <v>232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>
        <v>750</v>
      </c>
      <c r="I16" s="212"/>
      <c r="J16" s="176">
        <f>+G16+H16+I16</f>
        <v>750</v>
      </c>
      <c r="K16" s="250">
        <v>60</v>
      </c>
      <c r="L16" s="251">
        <f>1170+1020</f>
        <v>2190</v>
      </c>
      <c r="M16" s="252"/>
      <c r="N16" s="256">
        <f>+K16+L16+M16</f>
        <v>2250</v>
      </c>
      <c r="O16" s="235"/>
      <c r="P16" s="234"/>
      <c r="Q16" s="187">
        <f>+P16+O16+N16</f>
        <v>2250</v>
      </c>
      <c r="R16" s="183">
        <f>+Q16+J16+F16</f>
        <v>3000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>
        <v>750</v>
      </c>
      <c r="I17" s="212"/>
      <c r="J17" s="176">
        <f t="shared" ref="J17:J46" si="1">+G17+H17+I17</f>
        <v>750</v>
      </c>
      <c r="K17" s="250">
        <v>60</v>
      </c>
      <c r="L17" s="251">
        <f>200+150+150+210+100+50+50+50+50+50+50+50+20+20+10+20+640+20+100</f>
        <v>1990</v>
      </c>
      <c r="M17" s="252"/>
      <c r="N17" s="256">
        <f t="shared" ref="N17:N46" si="2">+K17+L17+M17</f>
        <v>2050</v>
      </c>
      <c r="O17" s="213"/>
      <c r="P17" s="214"/>
      <c r="Q17" s="187">
        <f t="shared" ref="Q17:Q46" si="3">+P17+O17+N17</f>
        <v>2050</v>
      </c>
      <c r="R17" s="183">
        <f t="shared" ref="R17:R46" si="4">+Q17+J17+F17</f>
        <v>2800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>
        <v>750</v>
      </c>
      <c r="I18" s="212"/>
      <c r="J18" s="176">
        <f t="shared" si="1"/>
        <v>750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750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>
        <v>750</v>
      </c>
      <c r="I19" s="212"/>
      <c r="J19" s="176">
        <f t="shared" si="1"/>
        <v>750</v>
      </c>
      <c r="K19" s="250">
        <v>20</v>
      </c>
      <c r="L19" s="251">
        <v>200</v>
      </c>
      <c r="M19" s="252"/>
      <c r="N19" s="256">
        <f t="shared" si="2"/>
        <v>220</v>
      </c>
      <c r="O19" s="213"/>
      <c r="P19" s="214"/>
      <c r="Q19" s="187">
        <f t="shared" si="3"/>
        <v>220</v>
      </c>
      <c r="R19" s="183">
        <f t="shared" si="4"/>
        <v>970</v>
      </c>
      <c r="S19" s="215"/>
      <c r="T19" s="215"/>
    </row>
    <row r="20" spans="2:20" ht="15" customHeight="1" thickBot="1" x14ac:dyDescent="0.35">
      <c r="B20" s="36">
        <v>5</v>
      </c>
      <c r="C20" s="216"/>
      <c r="D20" s="217"/>
      <c r="E20" s="218"/>
      <c r="F20" s="177">
        <f t="shared" si="0"/>
        <v>0</v>
      </c>
      <c r="G20" s="210"/>
      <c r="H20" s="211">
        <v>750</v>
      </c>
      <c r="I20" s="212"/>
      <c r="J20" s="176">
        <f t="shared" si="1"/>
        <v>750</v>
      </c>
      <c r="K20" s="250">
        <v>60</v>
      </c>
      <c r="L20" s="251">
        <f>200+150+150+190+100+50+50+50+50+50+50+50+20+20+10+30+900+20+50</f>
        <v>2190</v>
      </c>
      <c r="M20" s="252"/>
      <c r="N20" s="256">
        <f t="shared" si="2"/>
        <v>2250</v>
      </c>
      <c r="O20" s="213"/>
      <c r="P20" s="214"/>
      <c r="Q20" s="187">
        <f t="shared" si="3"/>
        <v>2250</v>
      </c>
      <c r="R20" s="183">
        <f t="shared" si="4"/>
        <v>3000</v>
      </c>
      <c r="S20" s="215"/>
      <c r="T20" s="215"/>
    </row>
    <row r="21" spans="2:20" ht="15" customHeight="1" thickBot="1" x14ac:dyDescent="0.35">
      <c r="B21" s="26">
        <v>6</v>
      </c>
      <c r="C21" s="221"/>
      <c r="D21" s="217"/>
      <c r="E21" s="218"/>
      <c r="F21" s="177">
        <f t="shared" si="0"/>
        <v>0</v>
      </c>
      <c r="G21" s="210"/>
      <c r="H21" s="211">
        <v>750</v>
      </c>
      <c r="I21" s="212"/>
      <c r="J21" s="176">
        <f t="shared" si="1"/>
        <v>750</v>
      </c>
      <c r="K21" s="250">
        <v>60</v>
      </c>
      <c r="L21" s="251">
        <f>1130+860</f>
        <v>1990</v>
      </c>
      <c r="M21" s="252"/>
      <c r="N21" s="256">
        <f t="shared" si="2"/>
        <v>2050</v>
      </c>
      <c r="O21" s="213"/>
      <c r="P21" s="214"/>
      <c r="Q21" s="187">
        <f t="shared" si="3"/>
        <v>2050</v>
      </c>
      <c r="R21" s="183">
        <f t="shared" si="4"/>
        <v>2800</v>
      </c>
      <c r="S21" s="215"/>
      <c r="T21" s="215"/>
    </row>
    <row r="22" spans="2:20" ht="15" customHeight="1" thickBot="1" x14ac:dyDescent="0.35">
      <c r="B22" s="26">
        <v>7</v>
      </c>
      <c r="C22" s="338"/>
      <c r="D22" s="339"/>
      <c r="E22" s="340"/>
      <c r="F22" s="177">
        <f t="shared" si="0"/>
        <v>0</v>
      </c>
      <c r="G22" s="341"/>
      <c r="H22" s="484">
        <v>750</v>
      </c>
      <c r="I22" s="342"/>
      <c r="J22" s="176">
        <f t="shared" si="1"/>
        <v>750</v>
      </c>
      <c r="K22" s="482">
        <v>60</v>
      </c>
      <c r="L22" s="343">
        <f>200+150+150+190+100+50+50+50+50+50+50+50+20+20+10+20+1410+20+30+20</f>
        <v>2690</v>
      </c>
      <c r="M22" s="344"/>
      <c r="N22" s="256">
        <f t="shared" si="2"/>
        <v>2750</v>
      </c>
      <c r="O22" s="345"/>
      <c r="P22" s="346"/>
      <c r="Q22" s="187">
        <f t="shared" si="3"/>
        <v>2750</v>
      </c>
      <c r="R22" s="183">
        <f t="shared" si="4"/>
        <v>3500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>
        <v>750</v>
      </c>
      <c r="I23" s="212"/>
      <c r="J23" s="176">
        <f t="shared" si="1"/>
        <v>750</v>
      </c>
      <c r="K23" s="250">
        <v>60</v>
      </c>
      <c r="L23" s="251">
        <f>200+150+150+190+50+50+50+50+50+50+50+20+20+10+20+1060+20</f>
        <v>2190</v>
      </c>
      <c r="M23" s="252"/>
      <c r="N23" s="256">
        <f t="shared" si="2"/>
        <v>2250</v>
      </c>
      <c r="O23" s="213"/>
      <c r="P23" s="214"/>
      <c r="Q23" s="187">
        <f t="shared" si="3"/>
        <v>2250</v>
      </c>
      <c r="R23" s="183">
        <f t="shared" si="4"/>
        <v>3000</v>
      </c>
      <c r="S23" s="215"/>
      <c r="T23" s="215"/>
    </row>
    <row r="24" spans="2:20" ht="15" customHeight="1" thickBot="1" x14ac:dyDescent="0.35">
      <c r="B24" s="36">
        <v>9</v>
      </c>
      <c r="C24" s="216"/>
      <c r="D24" s="217"/>
      <c r="E24" s="218"/>
      <c r="F24" s="177">
        <f t="shared" si="0"/>
        <v>0</v>
      </c>
      <c r="G24" s="210"/>
      <c r="H24" s="211">
        <v>750</v>
      </c>
      <c r="I24" s="212"/>
      <c r="J24" s="176">
        <f t="shared" si="1"/>
        <v>750</v>
      </c>
      <c r="K24" s="250">
        <v>60</v>
      </c>
      <c r="L24" s="251">
        <f>200+150+150+190+100+50+50+50+50+50+50+50+20+20+10+20+1030+150</f>
        <v>2390</v>
      </c>
      <c r="M24" s="252"/>
      <c r="N24" s="256">
        <f t="shared" si="2"/>
        <v>2450</v>
      </c>
      <c r="O24" s="213"/>
      <c r="P24" s="214"/>
      <c r="Q24" s="187">
        <f t="shared" si="3"/>
        <v>2450</v>
      </c>
      <c r="R24" s="183">
        <f t="shared" si="4"/>
        <v>3200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>
        <v>750</v>
      </c>
      <c r="I25" s="212"/>
      <c r="J25" s="176">
        <f t="shared" si="1"/>
        <v>750</v>
      </c>
      <c r="K25" s="250">
        <v>60</v>
      </c>
      <c r="L25" s="251">
        <f>40+150+200+40+300+100+150</f>
        <v>980</v>
      </c>
      <c r="M25" s="252"/>
      <c r="N25" s="256">
        <f t="shared" si="2"/>
        <v>1040</v>
      </c>
      <c r="O25" s="213"/>
      <c r="P25" s="214"/>
      <c r="Q25" s="187">
        <f t="shared" si="3"/>
        <v>1040</v>
      </c>
      <c r="R25" s="183">
        <f t="shared" si="4"/>
        <v>1790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>
        <v>750</v>
      </c>
      <c r="I26" s="212"/>
      <c r="J26" s="176">
        <f t="shared" si="1"/>
        <v>750</v>
      </c>
      <c r="K26" s="250">
        <v>20</v>
      </c>
      <c r="L26" s="251">
        <f>30+200+200</f>
        <v>430</v>
      </c>
      <c r="M26" s="252"/>
      <c r="N26" s="256">
        <f t="shared" si="2"/>
        <v>450</v>
      </c>
      <c r="O26" s="213"/>
      <c r="P26" s="214"/>
      <c r="Q26" s="187">
        <f t="shared" si="3"/>
        <v>450</v>
      </c>
      <c r="R26" s="183">
        <f t="shared" si="4"/>
        <v>1200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>
        <v>750</v>
      </c>
      <c r="I27" s="212"/>
      <c r="J27" s="176">
        <f t="shared" si="1"/>
        <v>750</v>
      </c>
      <c r="K27" s="250">
        <v>60</v>
      </c>
      <c r="L27" s="251">
        <f>200+150+150+190+100+50+50+50+50+50+50+50+20+20+10+20+1230+60+10</f>
        <v>2510</v>
      </c>
      <c r="M27" s="252"/>
      <c r="N27" s="256">
        <f t="shared" si="2"/>
        <v>2570</v>
      </c>
      <c r="O27" s="213"/>
      <c r="P27" s="214"/>
      <c r="Q27" s="187">
        <f t="shared" si="3"/>
        <v>2570</v>
      </c>
      <c r="R27" s="183">
        <f t="shared" si="4"/>
        <v>3320</v>
      </c>
      <c r="S27" s="215"/>
      <c r="T27" s="215"/>
    </row>
    <row r="28" spans="2:20" ht="15" customHeight="1" thickBot="1" x14ac:dyDescent="0.35">
      <c r="B28" s="36">
        <v>13</v>
      </c>
      <c r="C28" s="216"/>
      <c r="D28" s="217"/>
      <c r="E28" s="218"/>
      <c r="F28" s="177">
        <f t="shared" si="0"/>
        <v>0</v>
      </c>
      <c r="G28" s="210"/>
      <c r="H28" s="211">
        <v>750</v>
      </c>
      <c r="I28" s="212"/>
      <c r="J28" s="176">
        <f t="shared" si="1"/>
        <v>750</v>
      </c>
      <c r="K28" s="250">
        <v>60</v>
      </c>
      <c r="L28" s="251">
        <f>200+150+150+50+50+50+50+50+50+50+20+20+20+20+30+730</f>
        <v>1690</v>
      </c>
      <c r="M28" s="252"/>
      <c r="N28" s="256">
        <f t="shared" si="2"/>
        <v>1750</v>
      </c>
      <c r="O28" s="213"/>
      <c r="P28" s="214"/>
      <c r="Q28" s="187">
        <f t="shared" si="3"/>
        <v>1750</v>
      </c>
      <c r="R28" s="183">
        <f t="shared" si="4"/>
        <v>2500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>
        <v>750</v>
      </c>
      <c r="I29" s="212"/>
      <c r="J29" s="176">
        <f t="shared" si="1"/>
        <v>750</v>
      </c>
      <c r="K29" s="250">
        <v>60</v>
      </c>
      <c r="L29" s="251">
        <f>200+150+150+190+100+50+50+50+50+50+50+50+20+20+20+400+30+60</f>
        <v>1690</v>
      </c>
      <c r="M29" s="252"/>
      <c r="N29" s="256">
        <f t="shared" si="2"/>
        <v>1750</v>
      </c>
      <c r="O29" s="213"/>
      <c r="P29" s="214"/>
      <c r="Q29" s="187">
        <f t="shared" si="3"/>
        <v>1750</v>
      </c>
      <c r="R29" s="183">
        <f t="shared" si="4"/>
        <v>2500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>
        <v>750</v>
      </c>
      <c r="I30" s="212"/>
      <c r="J30" s="176">
        <f t="shared" si="1"/>
        <v>750</v>
      </c>
      <c r="K30" s="250">
        <v>60</v>
      </c>
      <c r="L30" s="251">
        <f>200+150+150+180+50+50+50+50+50+50+50+20+40+20+20+1065+20+50+100+25</f>
        <v>2390</v>
      </c>
      <c r="M30" s="252"/>
      <c r="N30" s="256">
        <f t="shared" si="2"/>
        <v>2450</v>
      </c>
      <c r="O30" s="213"/>
      <c r="P30" s="214"/>
      <c r="Q30" s="187">
        <f t="shared" si="3"/>
        <v>2450</v>
      </c>
      <c r="R30" s="183">
        <f t="shared" si="4"/>
        <v>3200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60</v>
      </c>
      <c r="L31" s="251">
        <f>200+150+150+210+100+70+100+100+50+50+20+20+20+20+20+15+50+50+1745</f>
        <v>3140</v>
      </c>
      <c r="M31" s="252"/>
      <c r="N31" s="256">
        <f t="shared" si="2"/>
        <v>3200</v>
      </c>
      <c r="O31" s="213"/>
      <c r="P31" s="214"/>
      <c r="Q31" s="187">
        <f t="shared" si="3"/>
        <v>3200</v>
      </c>
      <c r="R31" s="183">
        <f t="shared" si="4"/>
        <v>3200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>
        <v>60</v>
      </c>
      <c r="L32" s="251">
        <v>300</v>
      </c>
      <c r="M32" s="252"/>
      <c r="N32" s="256">
        <f t="shared" si="2"/>
        <v>360</v>
      </c>
      <c r="O32" s="213"/>
      <c r="P32" s="214"/>
      <c r="Q32" s="187">
        <f t="shared" si="3"/>
        <v>360</v>
      </c>
      <c r="R32" s="183">
        <f t="shared" si="4"/>
        <v>360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80</v>
      </c>
      <c r="L34" s="251">
        <f>150+130+130+50+1120+65</f>
        <v>1645</v>
      </c>
      <c r="M34" s="252"/>
      <c r="N34" s="256">
        <f t="shared" si="2"/>
        <v>1725</v>
      </c>
      <c r="O34" s="213"/>
      <c r="P34" s="214"/>
      <c r="Q34" s="187">
        <f t="shared" si="3"/>
        <v>1725</v>
      </c>
      <c r="R34" s="183">
        <f t="shared" si="4"/>
        <v>1725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80</v>
      </c>
      <c r="L35" s="251">
        <f>200+150+130+100+70+50+50+50+50+50+50+65+25+20+20+20+20+1345</f>
        <v>2465</v>
      </c>
      <c r="M35" s="252"/>
      <c r="N35" s="256">
        <f t="shared" si="2"/>
        <v>2545</v>
      </c>
      <c r="O35" s="213"/>
      <c r="P35" s="214"/>
      <c r="Q35" s="187">
        <f t="shared" si="3"/>
        <v>2545</v>
      </c>
      <c r="R35" s="183">
        <f t="shared" si="4"/>
        <v>2545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80</v>
      </c>
      <c r="L36" s="251">
        <f>200+150+25+150+210+100+70+50+50+50+50+50+50+20+20+20+20+20+1515+100</f>
        <v>2920</v>
      </c>
      <c r="M36" s="252"/>
      <c r="N36" s="256">
        <f t="shared" si="2"/>
        <v>3000</v>
      </c>
      <c r="O36" s="213"/>
      <c r="P36" s="214"/>
      <c r="Q36" s="187">
        <f t="shared" si="3"/>
        <v>3000</v>
      </c>
      <c r="R36" s="183">
        <f t="shared" si="4"/>
        <v>3000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80</v>
      </c>
      <c r="L37" s="251">
        <f>200+150+150+180+130+100+50+50+50+50+50+50+20+20+20+20+20+26+1520</f>
        <v>2856</v>
      </c>
      <c r="M37" s="252"/>
      <c r="N37" s="256">
        <f t="shared" si="2"/>
        <v>2936</v>
      </c>
      <c r="O37" s="213"/>
      <c r="P37" s="214"/>
      <c r="Q37" s="187">
        <f t="shared" si="3"/>
        <v>2936</v>
      </c>
      <c r="R37" s="183">
        <f t="shared" si="4"/>
        <v>2936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80</v>
      </c>
      <c r="L38" s="251">
        <f>200+150+25+150+230+100+50+50+50+50+50+50+20+20+20+20+20+26+100+1545</f>
        <v>2926</v>
      </c>
      <c r="M38" s="252"/>
      <c r="N38" s="256">
        <f t="shared" si="2"/>
        <v>3006</v>
      </c>
      <c r="O38" s="213"/>
      <c r="P38" s="214"/>
      <c r="Q38" s="187">
        <f t="shared" si="3"/>
        <v>3006</v>
      </c>
      <c r="R38" s="183">
        <f t="shared" si="4"/>
        <v>3006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>
        <v>40</v>
      </c>
      <c r="L39" s="251">
        <f>50+400</f>
        <v>450</v>
      </c>
      <c r="M39" s="252"/>
      <c r="N39" s="256">
        <f t="shared" si="2"/>
        <v>490</v>
      </c>
      <c r="O39" s="213"/>
      <c r="P39" s="214"/>
      <c r="Q39" s="187">
        <f t="shared" si="3"/>
        <v>490</v>
      </c>
      <c r="R39" s="183">
        <f t="shared" si="4"/>
        <v>490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40</v>
      </c>
      <c r="L40" s="251">
        <f>180+50+200</f>
        <v>430</v>
      </c>
      <c r="M40" s="252"/>
      <c r="N40" s="256">
        <f t="shared" si="2"/>
        <v>470</v>
      </c>
      <c r="O40" s="213"/>
      <c r="P40" s="214"/>
      <c r="Q40" s="187">
        <f t="shared" si="3"/>
        <v>470</v>
      </c>
      <c r="R40" s="183">
        <f t="shared" si="4"/>
        <v>470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80</v>
      </c>
      <c r="L41" s="251">
        <f>200+150+25+150+230+75+50+50+50+50+50+50+50+20+20+20+20+20+1540+100</f>
        <v>2920</v>
      </c>
      <c r="M41" s="252"/>
      <c r="N41" s="256">
        <f t="shared" si="2"/>
        <v>3000</v>
      </c>
      <c r="O41" s="213"/>
      <c r="P41" s="214"/>
      <c r="Q41" s="187">
        <f t="shared" si="3"/>
        <v>3000</v>
      </c>
      <c r="R41" s="183">
        <f t="shared" si="4"/>
        <v>3000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80</v>
      </c>
      <c r="L42" s="251">
        <f>200+150+150+230+50+50+50+75+50+50+50+20+20+20+1515+100+600+20+20</f>
        <v>3420</v>
      </c>
      <c r="M42" s="252"/>
      <c r="N42" s="256">
        <f t="shared" si="2"/>
        <v>3500</v>
      </c>
      <c r="O42" s="213"/>
      <c r="P42" s="214"/>
      <c r="Q42" s="187">
        <f t="shared" si="3"/>
        <v>3500</v>
      </c>
      <c r="R42" s="183">
        <f t="shared" si="4"/>
        <v>3500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80</v>
      </c>
      <c r="L43" s="251">
        <f>1305+1615</f>
        <v>2920</v>
      </c>
      <c r="M43" s="252"/>
      <c r="N43" s="256">
        <f t="shared" si="2"/>
        <v>3000</v>
      </c>
      <c r="O43" s="213"/>
      <c r="P43" s="214"/>
      <c r="Q43" s="187">
        <f t="shared" si="3"/>
        <v>3000</v>
      </c>
      <c r="R43" s="183">
        <f t="shared" si="4"/>
        <v>3000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80</v>
      </c>
      <c r="L44" s="251">
        <f>200+150+150+200+50+50+50+75+50+50+50+20+20+20+1365+20+100+100</f>
        <v>2720</v>
      </c>
      <c r="M44" s="252"/>
      <c r="N44" s="256">
        <f t="shared" si="2"/>
        <v>2800</v>
      </c>
      <c r="O44" s="213"/>
      <c r="P44" s="214"/>
      <c r="Q44" s="187">
        <f t="shared" si="3"/>
        <v>2800</v>
      </c>
      <c r="R44" s="183">
        <f t="shared" si="4"/>
        <v>2800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80</v>
      </c>
      <c r="L45" s="251">
        <f>200+150+150+230+100+50+50+50+75+50+50+50+20+20+20+1247+80+20+20+100+100+100+388</f>
        <v>3320</v>
      </c>
      <c r="M45" s="252"/>
      <c r="N45" s="256">
        <f t="shared" si="2"/>
        <v>3400</v>
      </c>
      <c r="O45" s="213"/>
      <c r="P45" s="214"/>
      <c r="Q45" s="187">
        <f t="shared" si="3"/>
        <v>3400</v>
      </c>
      <c r="R45" s="183">
        <f t="shared" si="4"/>
        <v>3400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11250</v>
      </c>
      <c r="I48" s="182">
        <f t="shared" si="5"/>
        <v>0</v>
      </c>
      <c r="J48" s="175">
        <f>SUM(J16:J46)</f>
        <v>11250</v>
      </c>
      <c r="K48" s="261">
        <f t="shared" si="5"/>
        <v>1760</v>
      </c>
      <c r="L48" s="259">
        <f t="shared" si="5"/>
        <v>57952</v>
      </c>
      <c r="M48" s="260">
        <f t="shared" si="5"/>
        <v>0</v>
      </c>
      <c r="N48" s="258">
        <f>SUM(N16:N46)</f>
        <v>59712</v>
      </c>
      <c r="O48" s="195">
        <f t="shared" si="5"/>
        <v>0</v>
      </c>
      <c r="P48" s="195">
        <f t="shared" si="5"/>
        <v>0</v>
      </c>
      <c r="Q48" s="194">
        <f>SUM(Q16:Q46)</f>
        <v>59712</v>
      </c>
      <c r="R48" s="185">
        <f>SUM(R16:R46)</f>
        <v>70962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70962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topLeftCell="A17" zoomScale="59" zoomScaleNormal="59" workbookViewId="0">
      <pane xSplit="1" topLeftCell="B1" activePane="topRight" state="frozen"/>
      <selection activeCell="R13" sqref="R13"/>
      <selection pane="topRight" activeCell="R31" sqref="R31"/>
    </sheetView>
  </sheetViews>
  <sheetFormatPr baseColWidth="10" defaultColWidth="11.44140625" defaultRowHeight="14.4" x14ac:dyDescent="0.3"/>
  <cols>
    <col min="1" max="1" width="5.44140625" style="89" customWidth="1"/>
    <col min="2" max="2" width="5.109375" style="89" customWidth="1"/>
    <col min="3" max="5" width="11.44140625" style="89"/>
    <col min="6" max="6" width="11.5546875" style="89" customWidth="1"/>
    <col min="7" max="16384" width="11.44140625" style="89"/>
  </cols>
  <sheetData>
    <row r="1" spans="1:20" ht="15" customHeight="1" x14ac:dyDescent="0.3"/>
    <row r="2" spans="1:20" ht="15" customHeight="1" x14ac:dyDescent="0.3"/>
    <row r="3" spans="1:20" ht="15" customHeight="1" x14ac:dyDescent="0.3"/>
    <row r="4" spans="1:20" ht="15" customHeight="1" x14ac:dyDescent="0.3"/>
    <row r="5" spans="1:20" ht="15" customHeight="1" x14ac:dyDescent="0.3"/>
    <row r="6" spans="1:20" ht="15" customHeight="1" x14ac:dyDescent="0.3"/>
    <row r="7" spans="1:20" ht="15" customHeight="1" x14ac:dyDescent="0.3">
      <c r="A7" s="520" t="s">
        <v>45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</row>
    <row r="8" spans="1:20" ht="15" customHeight="1" x14ac:dyDescent="0.3">
      <c r="A8" s="520" t="s">
        <v>46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20" ht="15" customHeight="1" x14ac:dyDescent="0.3">
      <c r="A9" s="525" t="s">
        <v>47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</row>
    <row r="10" spans="1:20" ht="15" customHeight="1" x14ac:dyDescent="0.3"/>
    <row r="11" spans="1:20" ht="15" customHeight="1" x14ac:dyDescent="0.3"/>
    <row r="12" spans="1:20" ht="15" customHeight="1" x14ac:dyDescent="0.35">
      <c r="B12" s="39" t="s">
        <v>48</v>
      </c>
      <c r="C12" s="40"/>
      <c r="D12" s="524" t="s">
        <v>5</v>
      </c>
      <c r="E12" s="524"/>
      <c r="F12" s="524"/>
      <c r="G12" s="524"/>
      <c r="H12" s="524"/>
      <c r="I12" s="524"/>
      <c r="J12" s="524"/>
      <c r="K12" s="524"/>
      <c r="L12" s="50"/>
      <c r="M12" s="326" t="str">
        <f>+'ADM 1'!T12</f>
        <v>SEPTIEMBRE</v>
      </c>
      <c r="N12" s="326"/>
      <c r="O12" s="326"/>
      <c r="P12" s="326"/>
      <c r="Q12" s="326"/>
      <c r="R12" s="51">
        <f>+'ADM 1'!Y12</f>
        <v>2022</v>
      </c>
    </row>
    <row r="13" spans="1:20" ht="15" customHeight="1" thickBot="1" x14ac:dyDescent="0.3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19.5" customHeight="1" thickBot="1" x14ac:dyDescent="0.35">
      <c r="B14" s="152"/>
      <c r="D14" s="526" t="s">
        <v>50</v>
      </c>
      <c r="E14" s="527"/>
      <c r="F14" s="528"/>
      <c r="G14" s="167"/>
      <c r="H14" s="168" t="s">
        <v>29</v>
      </c>
      <c r="I14" s="168"/>
      <c r="J14" s="169"/>
      <c r="K14" s="521" t="s">
        <v>30</v>
      </c>
      <c r="L14" s="522"/>
      <c r="M14" s="522"/>
      <c r="N14" s="522"/>
      <c r="O14" s="522"/>
      <c r="P14" s="522"/>
      <c r="Q14" s="523"/>
      <c r="R14" s="158" t="s">
        <v>51</v>
      </c>
    </row>
    <row r="15" spans="1:20" ht="48" customHeight="1" thickBot="1" x14ac:dyDescent="0.35">
      <c r="B15" s="151" t="s">
        <v>0</v>
      </c>
      <c r="C15" s="153" t="s">
        <v>60</v>
      </c>
      <c r="D15" s="154" t="s">
        <v>52</v>
      </c>
      <c r="E15" s="164" t="s">
        <v>53</v>
      </c>
      <c r="F15" s="170" t="s">
        <v>183</v>
      </c>
      <c r="G15" s="162" t="s">
        <v>54</v>
      </c>
      <c r="H15" s="161" t="s">
        <v>207</v>
      </c>
      <c r="I15" s="162" t="s">
        <v>56</v>
      </c>
      <c r="J15" s="173" t="s">
        <v>184</v>
      </c>
      <c r="K15" s="247" t="s">
        <v>186</v>
      </c>
      <c r="L15" s="248" t="s">
        <v>187</v>
      </c>
      <c r="M15" s="249" t="s">
        <v>188</v>
      </c>
      <c r="N15" s="155" t="s">
        <v>182</v>
      </c>
      <c r="O15" s="190" t="s">
        <v>81</v>
      </c>
      <c r="P15" s="190" t="s">
        <v>83</v>
      </c>
      <c r="Q15" s="157" t="s">
        <v>185</v>
      </c>
      <c r="R15" s="159" t="s">
        <v>58</v>
      </c>
    </row>
    <row r="16" spans="1:20" ht="15" customHeight="1" thickBot="1" x14ac:dyDescent="0.35">
      <c r="B16" s="36">
        <v>1</v>
      </c>
      <c r="C16" s="207"/>
      <c r="D16" s="208"/>
      <c r="E16" s="209"/>
      <c r="F16" s="177">
        <f>+D16+E16</f>
        <v>0</v>
      </c>
      <c r="G16" s="210"/>
      <c r="H16" s="211"/>
      <c r="I16" s="212"/>
      <c r="J16" s="176">
        <f>+G16+H16+I16</f>
        <v>0</v>
      </c>
      <c r="K16" s="250">
        <v>22</v>
      </c>
      <c r="L16" s="251">
        <f>808+25+18+50+40+10+16+20+26+50+10</f>
        <v>1073</v>
      </c>
      <c r="M16" s="252"/>
      <c r="N16" s="256">
        <f>+K16+L16+M16</f>
        <v>1095</v>
      </c>
      <c r="O16" s="235"/>
      <c r="P16" s="234"/>
      <c r="Q16" s="187">
        <f>+P16+O16+N16</f>
        <v>1095</v>
      </c>
      <c r="R16" s="183">
        <f>+Q16+J16+F16</f>
        <v>1095</v>
      </c>
      <c r="S16" s="215"/>
      <c r="T16" s="215"/>
    </row>
    <row r="17" spans="2:20" ht="15" customHeight="1" thickBot="1" x14ac:dyDescent="0.35">
      <c r="B17" s="26">
        <v>2</v>
      </c>
      <c r="C17" s="216"/>
      <c r="D17" s="217"/>
      <c r="E17" s="218"/>
      <c r="F17" s="177">
        <f t="shared" ref="F17:F46" si="0">+D17+E17</f>
        <v>0</v>
      </c>
      <c r="G17" s="210"/>
      <c r="H17" s="211"/>
      <c r="I17" s="212"/>
      <c r="J17" s="176">
        <f t="shared" ref="J17:J46" si="1">+G17+H17+I17</f>
        <v>0</v>
      </c>
      <c r="K17" s="250">
        <v>22</v>
      </c>
      <c r="L17" s="251">
        <f>838+25+18+25+40+16+20+10+26+50+10</f>
        <v>1078</v>
      </c>
      <c r="M17" s="252"/>
      <c r="N17" s="256">
        <f t="shared" ref="N17:N46" si="2">+K17+L17+M17</f>
        <v>1100</v>
      </c>
      <c r="O17" s="213"/>
      <c r="P17" s="214"/>
      <c r="Q17" s="187">
        <f t="shared" ref="Q17:Q46" si="3">+P17+O17+N17</f>
        <v>1100</v>
      </c>
      <c r="R17" s="183">
        <f t="shared" ref="R17:R46" si="4">+Q17+J17+F17</f>
        <v>1100</v>
      </c>
      <c r="S17" s="215"/>
      <c r="T17" s="215"/>
    </row>
    <row r="18" spans="2:20" ht="15" customHeight="1" thickBot="1" x14ac:dyDescent="0.35">
      <c r="B18" s="26">
        <v>3</v>
      </c>
      <c r="C18" s="216"/>
      <c r="D18" s="217"/>
      <c r="E18" s="218"/>
      <c r="F18" s="177">
        <f t="shared" si="0"/>
        <v>0</v>
      </c>
      <c r="G18" s="210"/>
      <c r="H18" s="211"/>
      <c r="I18" s="212"/>
      <c r="J18" s="176">
        <f t="shared" si="1"/>
        <v>0</v>
      </c>
      <c r="K18" s="250"/>
      <c r="L18" s="251"/>
      <c r="M18" s="252"/>
      <c r="N18" s="256">
        <f t="shared" si="2"/>
        <v>0</v>
      </c>
      <c r="O18" s="213"/>
      <c r="P18" s="214"/>
      <c r="Q18" s="187">
        <f t="shared" si="3"/>
        <v>0</v>
      </c>
      <c r="R18" s="183">
        <f t="shared" si="4"/>
        <v>0</v>
      </c>
      <c r="S18" s="215"/>
      <c r="T18" s="215"/>
    </row>
    <row r="19" spans="2:20" ht="15" customHeight="1" thickBot="1" x14ac:dyDescent="0.35">
      <c r="B19" s="26">
        <v>4</v>
      </c>
      <c r="C19" s="216"/>
      <c r="D19" s="217"/>
      <c r="E19" s="218"/>
      <c r="F19" s="177">
        <f t="shared" si="0"/>
        <v>0</v>
      </c>
      <c r="G19" s="210"/>
      <c r="H19" s="211"/>
      <c r="I19" s="212"/>
      <c r="J19" s="176">
        <f t="shared" si="1"/>
        <v>0</v>
      </c>
      <c r="K19" s="250"/>
      <c r="L19" s="251"/>
      <c r="M19" s="252"/>
      <c r="N19" s="256">
        <f t="shared" si="2"/>
        <v>0</v>
      </c>
      <c r="O19" s="213"/>
      <c r="P19" s="214"/>
      <c r="Q19" s="187">
        <f t="shared" si="3"/>
        <v>0</v>
      </c>
      <c r="R19" s="183">
        <f t="shared" si="4"/>
        <v>0</v>
      </c>
      <c r="S19" s="215"/>
      <c r="T19" s="215"/>
    </row>
    <row r="20" spans="2:20" ht="15" customHeight="1" thickBot="1" x14ac:dyDescent="0.35">
      <c r="B20" s="26">
        <v>5</v>
      </c>
      <c r="C20" s="216"/>
      <c r="D20" s="217"/>
      <c r="E20" s="218"/>
      <c r="F20" s="177">
        <f t="shared" si="0"/>
        <v>0</v>
      </c>
      <c r="G20" s="210"/>
      <c r="H20" s="211"/>
      <c r="I20" s="212"/>
      <c r="J20" s="176">
        <f t="shared" si="1"/>
        <v>0</v>
      </c>
      <c r="K20" s="250">
        <v>22</v>
      </c>
      <c r="L20" s="251">
        <f>815+25+18+50+40+16+10+26+50+10</f>
        <v>1060</v>
      </c>
      <c r="M20" s="252"/>
      <c r="N20" s="256">
        <f t="shared" si="2"/>
        <v>1082</v>
      </c>
      <c r="O20" s="213"/>
      <c r="P20" s="214"/>
      <c r="Q20" s="187">
        <f t="shared" si="3"/>
        <v>1082</v>
      </c>
      <c r="R20" s="183">
        <f t="shared" si="4"/>
        <v>1082</v>
      </c>
      <c r="S20" s="215"/>
      <c r="T20" s="215"/>
    </row>
    <row r="21" spans="2:20" ht="15" customHeight="1" thickBot="1" x14ac:dyDescent="0.35">
      <c r="B21" s="28">
        <v>6</v>
      </c>
      <c r="C21" s="221"/>
      <c r="D21" s="217"/>
      <c r="E21" s="218"/>
      <c r="F21" s="177">
        <f t="shared" si="0"/>
        <v>0</v>
      </c>
      <c r="G21" s="210"/>
      <c r="H21" s="211"/>
      <c r="I21" s="212"/>
      <c r="J21" s="176">
        <f t="shared" si="1"/>
        <v>0</v>
      </c>
      <c r="K21" s="250">
        <v>22</v>
      </c>
      <c r="L21" s="251">
        <f>883+25+18+25+16+26+20+50+10</f>
        <v>1073</v>
      </c>
      <c r="M21" s="252"/>
      <c r="N21" s="256">
        <f t="shared" si="2"/>
        <v>1095</v>
      </c>
      <c r="O21" s="213"/>
      <c r="P21" s="214"/>
      <c r="Q21" s="187">
        <f t="shared" si="3"/>
        <v>1095</v>
      </c>
      <c r="R21" s="183">
        <f t="shared" si="4"/>
        <v>1095</v>
      </c>
      <c r="S21" s="215"/>
      <c r="T21" s="215"/>
    </row>
    <row r="22" spans="2:20" ht="15" customHeight="1" thickBot="1" x14ac:dyDescent="0.35">
      <c r="B22" s="26">
        <v>7</v>
      </c>
      <c r="C22" s="216"/>
      <c r="D22" s="217"/>
      <c r="E22" s="218"/>
      <c r="F22" s="177">
        <f t="shared" si="0"/>
        <v>0</v>
      </c>
      <c r="G22" s="210"/>
      <c r="H22" s="211"/>
      <c r="I22" s="212"/>
      <c r="J22" s="176">
        <f t="shared" si="1"/>
        <v>0</v>
      </c>
      <c r="K22" s="250">
        <v>22</v>
      </c>
      <c r="L22" s="251">
        <f>907+40+50+10+25+26+50+10+10</f>
        <v>1128</v>
      </c>
      <c r="M22" s="252"/>
      <c r="N22" s="256">
        <f t="shared" si="2"/>
        <v>1150</v>
      </c>
      <c r="O22" s="213"/>
      <c r="P22" s="214"/>
      <c r="Q22" s="187">
        <f t="shared" si="3"/>
        <v>1150</v>
      </c>
      <c r="R22" s="183">
        <f t="shared" si="4"/>
        <v>1150</v>
      </c>
      <c r="S22" s="215"/>
      <c r="T22" s="215"/>
    </row>
    <row r="23" spans="2:20" ht="15" customHeight="1" thickBot="1" x14ac:dyDescent="0.35">
      <c r="B23" s="26">
        <v>8</v>
      </c>
      <c r="C23" s="216"/>
      <c r="D23" s="217"/>
      <c r="E23" s="218"/>
      <c r="F23" s="177">
        <f t="shared" si="0"/>
        <v>0</v>
      </c>
      <c r="G23" s="210"/>
      <c r="H23" s="211"/>
      <c r="I23" s="212"/>
      <c r="J23" s="176">
        <f t="shared" si="1"/>
        <v>0</v>
      </c>
      <c r="K23" s="250">
        <v>22</v>
      </c>
      <c r="L23" s="251">
        <f>834+25+18+50+16+10+26+37+50+10</f>
        <v>1076</v>
      </c>
      <c r="M23" s="252"/>
      <c r="N23" s="256">
        <f t="shared" si="2"/>
        <v>1098</v>
      </c>
      <c r="O23" s="213"/>
      <c r="P23" s="214"/>
      <c r="Q23" s="187">
        <f t="shared" si="3"/>
        <v>1098</v>
      </c>
      <c r="R23" s="183">
        <f t="shared" si="4"/>
        <v>1098</v>
      </c>
      <c r="S23" s="215"/>
      <c r="T23" s="215"/>
    </row>
    <row r="24" spans="2:20" ht="15" customHeight="1" thickBot="1" x14ac:dyDescent="0.35">
      <c r="B24" s="26">
        <v>9</v>
      </c>
      <c r="C24" s="216"/>
      <c r="D24" s="217"/>
      <c r="E24" s="218"/>
      <c r="F24" s="177">
        <f t="shared" si="0"/>
        <v>0</v>
      </c>
      <c r="G24" s="210"/>
      <c r="H24" s="211"/>
      <c r="I24" s="212"/>
      <c r="J24" s="176">
        <f t="shared" si="1"/>
        <v>0</v>
      </c>
      <c r="K24" s="250">
        <v>22</v>
      </c>
      <c r="L24" s="251">
        <f>883+25+18+16+20+10+26+50+10</f>
        <v>1058</v>
      </c>
      <c r="M24" s="252"/>
      <c r="N24" s="256">
        <f t="shared" si="2"/>
        <v>1080</v>
      </c>
      <c r="O24" s="213"/>
      <c r="P24" s="214"/>
      <c r="Q24" s="187">
        <f t="shared" si="3"/>
        <v>1080</v>
      </c>
      <c r="R24" s="183">
        <f t="shared" si="4"/>
        <v>1080</v>
      </c>
      <c r="S24" s="215"/>
      <c r="T24" s="215"/>
    </row>
    <row r="25" spans="2:20" ht="15" customHeight="1" thickBot="1" x14ac:dyDescent="0.35">
      <c r="B25" s="26">
        <v>10</v>
      </c>
      <c r="C25" s="216"/>
      <c r="D25" s="217"/>
      <c r="E25" s="218"/>
      <c r="F25" s="177">
        <f t="shared" si="0"/>
        <v>0</v>
      </c>
      <c r="G25" s="210"/>
      <c r="H25" s="211"/>
      <c r="I25" s="212"/>
      <c r="J25" s="176">
        <f t="shared" si="1"/>
        <v>0</v>
      </c>
      <c r="K25" s="250"/>
      <c r="L25" s="251"/>
      <c r="M25" s="252"/>
      <c r="N25" s="256">
        <f t="shared" si="2"/>
        <v>0</v>
      </c>
      <c r="O25" s="213"/>
      <c r="P25" s="214"/>
      <c r="Q25" s="187">
        <f t="shared" si="3"/>
        <v>0</v>
      </c>
      <c r="R25" s="183">
        <f t="shared" si="4"/>
        <v>0</v>
      </c>
      <c r="S25" s="215"/>
      <c r="T25" s="215"/>
    </row>
    <row r="26" spans="2:20" ht="15" customHeight="1" thickBot="1" x14ac:dyDescent="0.35">
      <c r="B26" s="26">
        <v>11</v>
      </c>
      <c r="C26" s="216"/>
      <c r="D26" s="217"/>
      <c r="E26" s="218"/>
      <c r="F26" s="177">
        <f t="shared" si="0"/>
        <v>0</v>
      </c>
      <c r="G26" s="210"/>
      <c r="H26" s="211"/>
      <c r="I26" s="212"/>
      <c r="J26" s="176">
        <f t="shared" si="1"/>
        <v>0</v>
      </c>
      <c r="K26" s="250"/>
      <c r="L26" s="251"/>
      <c r="M26" s="252"/>
      <c r="N26" s="256">
        <f t="shared" si="2"/>
        <v>0</v>
      </c>
      <c r="O26" s="213"/>
      <c r="P26" s="214"/>
      <c r="Q26" s="187">
        <f t="shared" si="3"/>
        <v>0</v>
      </c>
      <c r="R26" s="183">
        <f t="shared" si="4"/>
        <v>0</v>
      </c>
      <c r="S26" s="215"/>
      <c r="T26" s="215"/>
    </row>
    <row r="27" spans="2:20" ht="15" customHeight="1" thickBot="1" x14ac:dyDescent="0.35">
      <c r="B27" s="26">
        <v>12</v>
      </c>
      <c r="C27" s="216"/>
      <c r="D27" s="217"/>
      <c r="E27" s="218"/>
      <c r="F27" s="177">
        <f t="shared" si="0"/>
        <v>0</v>
      </c>
      <c r="G27" s="210"/>
      <c r="H27" s="211"/>
      <c r="I27" s="212"/>
      <c r="J27" s="176">
        <f t="shared" si="1"/>
        <v>0</v>
      </c>
      <c r="K27" s="250">
        <v>22</v>
      </c>
      <c r="L27" s="251">
        <f>793+25+18+50+40+16+10+26+50+10</f>
        <v>1038</v>
      </c>
      <c r="M27" s="252"/>
      <c r="N27" s="256">
        <f t="shared" si="2"/>
        <v>1060</v>
      </c>
      <c r="O27" s="213"/>
      <c r="P27" s="214"/>
      <c r="Q27" s="187">
        <f t="shared" si="3"/>
        <v>1060</v>
      </c>
      <c r="R27" s="183">
        <f t="shared" si="4"/>
        <v>1060</v>
      </c>
      <c r="S27" s="215"/>
      <c r="T27" s="215"/>
    </row>
    <row r="28" spans="2:20" ht="15" customHeight="1" thickBot="1" x14ac:dyDescent="0.35">
      <c r="B28" s="26">
        <v>13</v>
      </c>
      <c r="C28" s="216"/>
      <c r="D28" s="217"/>
      <c r="E28" s="218"/>
      <c r="F28" s="177">
        <f t="shared" si="0"/>
        <v>0</v>
      </c>
      <c r="G28" s="210"/>
      <c r="H28" s="211"/>
      <c r="I28" s="212"/>
      <c r="J28" s="176">
        <f t="shared" si="1"/>
        <v>0</v>
      </c>
      <c r="K28" s="250">
        <v>22</v>
      </c>
      <c r="L28" s="251">
        <f>798+25+18+50+40+16+40+26+50+10</f>
        <v>1073</v>
      </c>
      <c r="M28" s="252"/>
      <c r="N28" s="256">
        <f t="shared" si="2"/>
        <v>1095</v>
      </c>
      <c r="O28" s="213"/>
      <c r="P28" s="214"/>
      <c r="Q28" s="187">
        <f t="shared" si="3"/>
        <v>1095</v>
      </c>
      <c r="R28" s="183">
        <f t="shared" si="4"/>
        <v>1095</v>
      </c>
      <c r="S28" s="215"/>
      <c r="T28" s="215"/>
    </row>
    <row r="29" spans="2:20" ht="15" customHeight="1" thickBot="1" x14ac:dyDescent="0.35">
      <c r="B29" s="26">
        <v>14</v>
      </c>
      <c r="C29" s="216"/>
      <c r="D29" s="217"/>
      <c r="E29" s="218"/>
      <c r="F29" s="177">
        <f t="shared" si="0"/>
        <v>0</v>
      </c>
      <c r="G29" s="210"/>
      <c r="H29" s="211"/>
      <c r="I29" s="212"/>
      <c r="J29" s="176">
        <f t="shared" si="1"/>
        <v>0</v>
      </c>
      <c r="K29" s="250">
        <v>22</v>
      </c>
      <c r="L29" s="251">
        <f>791+25+18+50+40+16+30+26+50+10+20</f>
        <v>1076</v>
      </c>
      <c r="M29" s="252"/>
      <c r="N29" s="256">
        <f t="shared" si="2"/>
        <v>1098</v>
      </c>
      <c r="O29" s="213"/>
      <c r="P29" s="214"/>
      <c r="Q29" s="187">
        <f t="shared" si="3"/>
        <v>1098</v>
      </c>
      <c r="R29" s="183">
        <f t="shared" si="4"/>
        <v>1098</v>
      </c>
      <c r="S29" s="215"/>
      <c r="T29" s="215"/>
    </row>
    <row r="30" spans="2:20" ht="15" customHeight="1" thickBot="1" x14ac:dyDescent="0.35">
      <c r="B30" s="26">
        <v>15</v>
      </c>
      <c r="C30" s="216"/>
      <c r="D30" s="217"/>
      <c r="E30" s="218"/>
      <c r="F30" s="177">
        <f t="shared" si="0"/>
        <v>0</v>
      </c>
      <c r="G30" s="210"/>
      <c r="H30" s="211"/>
      <c r="I30" s="212"/>
      <c r="J30" s="176">
        <f t="shared" si="1"/>
        <v>0</v>
      </c>
      <c r="K30" s="250">
        <v>22</v>
      </c>
      <c r="L30" s="251">
        <f>820+25+18+50+40+16+10+26+50+10</f>
        <v>1065</v>
      </c>
      <c r="M30" s="252"/>
      <c r="N30" s="256">
        <f t="shared" si="2"/>
        <v>1087</v>
      </c>
      <c r="O30" s="213"/>
      <c r="P30" s="214"/>
      <c r="Q30" s="187">
        <f t="shared" si="3"/>
        <v>1087</v>
      </c>
      <c r="R30" s="183">
        <f t="shared" si="4"/>
        <v>1087</v>
      </c>
      <c r="S30" s="215"/>
      <c r="T30" s="215"/>
    </row>
    <row r="31" spans="2:20" ht="15" customHeight="1" thickBot="1" x14ac:dyDescent="0.35">
      <c r="B31" s="26">
        <v>16</v>
      </c>
      <c r="C31" s="216"/>
      <c r="D31" s="217"/>
      <c r="E31" s="218"/>
      <c r="F31" s="177">
        <f t="shared" si="0"/>
        <v>0</v>
      </c>
      <c r="G31" s="210"/>
      <c r="H31" s="211"/>
      <c r="I31" s="212"/>
      <c r="J31" s="176">
        <f t="shared" si="1"/>
        <v>0</v>
      </c>
      <c r="K31" s="250">
        <v>22</v>
      </c>
      <c r="L31" s="251">
        <f>643+75+55+25+50+250+20+26+16+10+10</f>
        <v>1180</v>
      </c>
      <c r="M31" s="252"/>
      <c r="N31" s="256">
        <f t="shared" si="2"/>
        <v>1202</v>
      </c>
      <c r="O31" s="213"/>
      <c r="P31" s="214"/>
      <c r="Q31" s="187">
        <f t="shared" si="3"/>
        <v>1202</v>
      </c>
      <c r="R31" s="183">
        <f t="shared" si="4"/>
        <v>1202</v>
      </c>
      <c r="S31" s="215"/>
      <c r="T31" s="215"/>
    </row>
    <row r="32" spans="2:20" ht="15" customHeight="1" thickBot="1" x14ac:dyDescent="0.35">
      <c r="B32" s="26">
        <v>17</v>
      </c>
      <c r="C32" s="216"/>
      <c r="D32" s="217"/>
      <c r="E32" s="218"/>
      <c r="F32" s="177">
        <f t="shared" si="0"/>
        <v>0</v>
      </c>
      <c r="G32" s="210"/>
      <c r="H32" s="211"/>
      <c r="I32" s="212"/>
      <c r="J32" s="176">
        <f t="shared" si="1"/>
        <v>0</v>
      </c>
      <c r="K32" s="250"/>
      <c r="L32" s="251"/>
      <c r="M32" s="252"/>
      <c r="N32" s="256">
        <f t="shared" si="2"/>
        <v>0</v>
      </c>
      <c r="O32" s="213"/>
      <c r="P32" s="214"/>
      <c r="Q32" s="187">
        <f t="shared" si="3"/>
        <v>0</v>
      </c>
      <c r="R32" s="183">
        <f t="shared" si="4"/>
        <v>0</v>
      </c>
      <c r="S32" s="215"/>
      <c r="T32" s="215"/>
    </row>
    <row r="33" spans="2:20" ht="15" customHeight="1" thickBot="1" x14ac:dyDescent="0.35">
      <c r="B33" s="26">
        <v>18</v>
      </c>
      <c r="C33" s="216"/>
      <c r="D33" s="217"/>
      <c r="E33" s="218"/>
      <c r="F33" s="177">
        <f t="shared" si="0"/>
        <v>0</v>
      </c>
      <c r="G33" s="210"/>
      <c r="H33" s="211"/>
      <c r="I33" s="212"/>
      <c r="J33" s="176">
        <f t="shared" si="1"/>
        <v>0</v>
      </c>
      <c r="K33" s="250"/>
      <c r="L33" s="251"/>
      <c r="M33" s="252"/>
      <c r="N33" s="256">
        <f t="shared" si="2"/>
        <v>0</v>
      </c>
      <c r="O33" s="213"/>
      <c r="P33" s="214"/>
      <c r="Q33" s="187">
        <f t="shared" si="3"/>
        <v>0</v>
      </c>
      <c r="R33" s="183">
        <f t="shared" si="4"/>
        <v>0</v>
      </c>
      <c r="S33" s="215"/>
      <c r="T33" s="215"/>
    </row>
    <row r="34" spans="2:20" ht="15" customHeight="1" thickBot="1" x14ac:dyDescent="0.35">
      <c r="B34" s="26">
        <v>19</v>
      </c>
      <c r="C34" s="216"/>
      <c r="D34" s="217"/>
      <c r="E34" s="218"/>
      <c r="F34" s="177">
        <f t="shared" si="0"/>
        <v>0</v>
      </c>
      <c r="G34" s="210"/>
      <c r="H34" s="211"/>
      <c r="I34" s="212"/>
      <c r="J34" s="176">
        <f t="shared" si="1"/>
        <v>0</v>
      </c>
      <c r="K34" s="250">
        <v>22</v>
      </c>
      <c r="L34" s="251">
        <f>534+42+390+100+42+42+20+10</f>
        <v>1180</v>
      </c>
      <c r="M34" s="252"/>
      <c r="N34" s="256">
        <f t="shared" si="2"/>
        <v>1202</v>
      </c>
      <c r="O34" s="213"/>
      <c r="P34" s="214"/>
      <c r="Q34" s="187">
        <f t="shared" si="3"/>
        <v>1202</v>
      </c>
      <c r="R34" s="183">
        <f t="shared" si="4"/>
        <v>1202</v>
      </c>
      <c r="S34" s="215"/>
      <c r="T34" s="215"/>
    </row>
    <row r="35" spans="2:20" ht="15" customHeight="1" thickBot="1" x14ac:dyDescent="0.35">
      <c r="B35" s="28">
        <v>20</v>
      </c>
      <c r="C35" s="221"/>
      <c r="D35" s="217"/>
      <c r="E35" s="218"/>
      <c r="F35" s="177">
        <f t="shared" si="0"/>
        <v>0</v>
      </c>
      <c r="G35" s="210"/>
      <c r="H35" s="211"/>
      <c r="I35" s="212"/>
      <c r="J35" s="176">
        <f t="shared" si="1"/>
        <v>0</v>
      </c>
      <c r="K35" s="250">
        <v>22</v>
      </c>
      <c r="L35" s="251">
        <f>801+25+20+40+16+40+26+50+10+30+13+109</f>
        <v>1180</v>
      </c>
      <c r="M35" s="252"/>
      <c r="N35" s="256">
        <f t="shared" si="2"/>
        <v>1202</v>
      </c>
      <c r="O35" s="213"/>
      <c r="P35" s="214"/>
      <c r="Q35" s="187">
        <f t="shared" si="3"/>
        <v>1202</v>
      </c>
      <c r="R35" s="183">
        <f t="shared" si="4"/>
        <v>1202</v>
      </c>
      <c r="S35" s="215"/>
      <c r="T35" s="215"/>
    </row>
    <row r="36" spans="2:20" ht="15" customHeight="1" thickBot="1" x14ac:dyDescent="0.35">
      <c r="B36" s="26">
        <v>21</v>
      </c>
      <c r="C36" s="216"/>
      <c r="D36" s="217"/>
      <c r="E36" s="218"/>
      <c r="F36" s="177">
        <f t="shared" si="0"/>
        <v>0</v>
      </c>
      <c r="G36" s="210"/>
      <c r="H36" s="211"/>
      <c r="I36" s="212"/>
      <c r="J36" s="176">
        <f t="shared" si="1"/>
        <v>0</v>
      </c>
      <c r="K36" s="250">
        <v>22</v>
      </c>
      <c r="L36" s="251">
        <f>741+25+20+50+40+16+40+26+50+39+10+30</f>
        <v>1087</v>
      </c>
      <c r="M36" s="252"/>
      <c r="N36" s="256">
        <f t="shared" si="2"/>
        <v>1109</v>
      </c>
      <c r="O36" s="213"/>
      <c r="P36" s="214"/>
      <c r="Q36" s="187">
        <f t="shared" si="3"/>
        <v>1109</v>
      </c>
      <c r="R36" s="183">
        <f t="shared" si="4"/>
        <v>1109</v>
      </c>
      <c r="S36" s="215"/>
      <c r="T36" s="215"/>
    </row>
    <row r="37" spans="2:20" ht="15" customHeight="1" thickBot="1" x14ac:dyDescent="0.35">
      <c r="B37" s="26">
        <v>22</v>
      </c>
      <c r="C37" s="216"/>
      <c r="D37" s="217"/>
      <c r="E37" s="218"/>
      <c r="F37" s="177">
        <f t="shared" si="0"/>
        <v>0</v>
      </c>
      <c r="G37" s="210"/>
      <c r="H37" s="211"/>
      <c r="I37" s="212"/>
      <c r="J37" s="176">
        <f t="shared" si="1"/>
        <v>0</v>
      </c>
      <c r="K37" s="250">
        <v>22</v>
      </c>
      <c r="L37" s="251">
        <f>40+802+50+40+65+10+26+20+10+10</f>
        <v>1073</v>
      </c>
      <c r="M37" s="252"/>
      <c r="N37" s="256">
        <f t="shared" si="2"/>
        <v>1095</v>
      </c>
      <c r="O37" s="213"/>
      <c r="P37" s="214"/>
      <c r="Q37" s="187">
        <f t="shared" si="3"/>
        <v>1095</v>
      </c>
      <c r="R37" s="183">
        <f t="shared" si="4"/>
        <v>1095</v>
      </c>
      <c r="S37" s="215"/>
      <c r="T37" s="215"/>
    </row>
    <row r="38" spans="2:20" ht="15" customHeight="1" thickBot="1" x14ac:dyDescent="0.35">
      <c r="B38" s="26">
        <v>23</v>
      </c>
      <c r="C38" s="216"/>
      <c r="D38" s="217"/>
      <c r="E38" s="218"/>
      <c r="F38" s="177">
        <f t="shared" si="0"/>
        <v>0</v>
      </c>
      <c r="G38" s="210"/>
      <c r="H38" s="211"/>
      <c r="I38" s="212"/>
      <c r="J38" s="176">
        <f t="shared" si="1"/>
        <v>0</v>
      </c>
      <c r="K38" s="250">
        <v>22</v>
      </c>
      <c r="L38" s="251">
        <f>746+40+10+50+26+10+16+25+50+20+20+30+39</f>
        <v>1082</v>
      </c>
      <c r="M38" s="252"/>
      <c r="N38" s="256">
        <f t="shared" si="2"/>
        <v>1104</v>
      </c>
      <c r="O38" s="213"/>
      <c r="P38" s="214"/>
      <c r="Q38" s="187">
        <f t="shared" si="3"/>
        <v>1104</v>
      </c>
      <c r="R38" s="183">
        <f t="shared" si="4"/>
        <v>1104</v>
      </c>
      <c r="S38" s="215"/>
      <c r="T38" s="215"/>
    </row>
    <row r="39" spans="2:20" ht="15" customHeight="1" thickBot="1" x14ac:dyDescent="0.35">
      <c r="B39" s="26">
        <v>24</v>
      </c>
      <c r="C39" s="216"/>
      <c r="D39" s="217"/>
      <c r="E39" s="218"/>
      <c r="F39" s="177">
        <f t="shared" si="0"/>
        <v>0</v>
      </c>
      <c r="G39" s="210"/>
      <c r="H39" s="211"/>
      <c r="I39" s="212"/>
      <c r="J39" s="176">
        <f t="shared" si="1"/>
        <v>0</v>
      </c>
      <c r="K39" s="250"/>
      <c r="L39" s="251"/>
      <c r="M39" s="252"/>
      <c r="N39" s="256">
        <f t="shared" si="2"/>
        <v>0</v>
      </c>
      <c r="O39" s="213"/>
      <c r="P39" s="214"/>
      <c r="Q39" s="187">
        <f t="shared" si="3"/>
        <v>0</v>
      </c>
      <c r="R39" s="183">
        <f t="shared" si="4"/>
        <v>0</v>
      </c>
      <c r="S39" s="215"/>
      <c r="T39" s="215"/>
    </row>
    <row r="40" spans="2:20" ht="15" customHeight="1" thickBot="1" x14ac:dyDescent="0.35">
      <c r="B40" s="26">
        <v>25</v>
      </c>
      <c r="C40" s="216"/>
      <c r="D40" s="217"/>
      <c r="E40" s="218"/>
      <c r="F40" s="177">
        <f t="shared" si="0"/>
        <v>0</v>
      </c>
      <c r="G40" s="210"/>
      <c r="H40" s="211"/>
      <c r="I40" s="212"/>
      <c r="J40" s="176">
        <f t="shared" si="1"/>
        <v>0</v>
      </c>
      <c r="K40" s="250">
        <v>22</v>
      </c>
      <c r="L40" s="251">
        <f>744+25+20+50+40+20+16+30+22+10+26+50+10</f>
        <v>1063</v>
      </c>
      <c r="M40" s="252"/>
      <c r="N40" s="256">
        <f t="shared" si="2"/>
        <v>1085</v>
      </c>
      <c r="O40" s="213"/>
      <c r="P40" s="214"/>
      <c r="Q40" s="187">
        <f t="shared" si="3"/>
        <v>1085</v>
      </c>
      <c r="R40" s="183">
        <f t="shared" si="4"/>
        <v>1085</v>
      </c>
      <c r="S40" s="215"/>
      <c r="T40" s="215"/>
    </row>
    <row r="41" spans="2:20" ht="15" customHeight="1" thickBot="1" x14ac:dyDescent="0.35">
      <c r="B41" s="26">
        <v>26</v>
      </c>
      <c r="C41" s="216"/>
      <c r="D41" s="217"/>
      <c r="E41" s="218"/>
      <c r="F41" s="177">
        <f t="shared" si="0"/>
        <v>0</v>
      </c>
      <c r="G41" s="210"/>
      <c r="H41" s="211"/>
      <c r="I41" s="212"/>
      <c r="J41" s="176">
        <f t="shared" si="1"/>
        <v>0</v>
      </c>
      <c r="K41" s="250">
        <v>22</v>
      </c>
      <c r="L41" s="251">
        <f>744+25+20+50+140+20+16+30+22+10+26+50+10</f>
        <v>1163</v>
      </c>
      <c r="M41" s="252"/>
      <c r="N41" s="256">
        <f t="shared" si="2"/>
        <v>1185</v>
      </c>
      <c r="O41" s="213"/>
      <c r="P41" s="214"/>
      <c r="Q41" s="187">
        <f t="shared" si="3"/>
        <v>1185</v>
      </c>
      <c r="R41" s="183">
        <f t="shared" si="4"/>
        <v>1185</v>
      </c>
      <c r="S41" s="215"/>
      <c r="T41" s="215"/>
    </row>
    <row r="42" spans="2:20" ht="15" customHeight="1" thickBot="1" x14ac:dyDescent="0.35">
      <c r="B42" s="26">
        <v>27</v>
      </c>
      <c r="C42" s="216"/>
      <c r="D42" s="217"/>
      <c r="E42" s="218"/>
      <c r="F42" s="177">
        <f t="shared" si="0"/>
        <v>0</v>
      </c>
      <c r="G42" s="210"/>
      <c r="H42" s="211"/>
      <c r="I42" s="212"/>
      <c r="J42" s="176">
        <f t="shared" si="1"/>
        <v>0</v>
      </c>
      <c r="K42" s="250">
        <v>22</v>
      </c>
      <c r="L42" s="251">
        <f>771+25+20+50+40+20+16+40+40+10+26+50+10</f>
        <v>1118</v>
      </c>
      <c r="M42" s="252"/>
      <c r="N42" s="256">
        <f t="shared" si="2"/>
        <v>1140</v>
      </c>
      <c r="O42" s="213"/>
      <c r="P42" s="214"/>
      <c r="Q42" s="187">
        <f t="shared" si="3"/>
        <v>1140</v>
      </c>
      <c r="R42" s="183">
        <f t="shared" si="4"/>
        <v>1140</v>
      </c>
      <c r="S42" s="215"/>
      <c r="T42" s="215"/>
    </row>
    <row r="43" spans="2:20" ht="15" customHeight="1" thickBot="1" x14ac:dyDescent="0.35">
      <c r="B43" s="26">
        <v>28</v>
      </c>
      <c r="C43" s="216"/>
      <c r="D43" s="217"/>
      <c r="E43" s="218"/>
      <c r="F43" s="177">
        <f t="shared" si="0"/>
        <v>0</v>
      </c>
      <c r="G43" s="210"/>
      <c r="H43" s="211"/>
      <c r="I43" s="212"/>
      <c r="J43" s="176">
        <f t="shared" si="1"/>
        <v>0</v>
      </c>
      <c r="K43" s="250">
        <v>22</v>
      </c>
      <c r="L43" s="251">
        <f>780+25+20+50+40+16+30+46+10+26+50+10</f>
        <v>1103</v>
      </c>
      <c r="M43" s="252"/>
      <c r="N43" s="256">
        <f t="shared" si="2"/>
        <v>1125</v>
      </c>
      <c r="O43" s="213"/>
      <c r="P43" s="214"/>
      <c r="Q43" s="187">
        <f t="shared" si="3"/>
        <v>1125</v>
      </c>
      <c r="R43" s="183">
        <f t="shared" si="4"/>
        <v>1125</v>
      </c>
      <c r="S43" s="215"/>
      <c r="T43" s="215"/>
    </row>
    <row r="44" spans="2:20" ht="15" customHeight="1" thickBot="1" x14ac:dyDescent="0.35">
      <c r="B44" s="26">
        <v>29</v>
      </c>
      <c r="C44" s="216"/>
      <c r="D44" s="217"/>
      <c r="E44" s="218"/>
      <c r="F44" s="177">
        <f t="shared" si="0"/>
        <v>0</v>
      </c>
      <c r="G44" s="210"/>
      <c r="H44" s="211"/>
      <c r="I44" s="212"/>
      <c r="J44" s="176">
        <f t="shared" si="1"/>
        <v>0</v>
      </c>
      <c r="K44" s="250">
        <v>22</v>
      </c>
      <c r="L44" s="251">
        <f>733+25+20+50+40+16+30+48+20+10+26+50+10</f>
        <v>1078</v>
      </c>
      <c r="M44" s="252"/>
      <c r="N44" s="256">
        <f t="shared" si="2"/>
        <v>1100</v>
      </c>
      <c r="O44" s="213"/>
      <c r="P44" s="214"/>
      <c r="Q44" s="187">
        <f t="shared" si="3"/>
        <v>1100</v>
      </c>
      <c r="R44" s="183">
        <f t="shared" si="4"/>
        <v>1100</v>
      </c>
      <c r="S44" s="215"/>
      <c r="T44" s="215"/>
    </row>
    <row r="45" spans="2:20" ht="15" customHeight="1" thickBot="1" x14ac:dyDescent="0.35">
      <c r="B45" s="26">
        <v>30</v>
      </c>
      <c r="C45" s="216"/>
      <c r="D45" s="217"/>
      <c r="E45" s="218"/>
      <c r="F45" s="177">
        <f t="shared" si="0"/>
        <v>0</v>
      </c>
      <c r="G45" s="210"/>
      <c r="H45" s="211"/>
      <c r="I45" s="212"/>
      <c r="J45" s="176">
        <f t="shared" si="1"/>
        <v>0</v>
      </c>
      <c r="K45" s="250">
        <v>22</v>
      </c>
      <c r="L45" s="251">
        <f>720+25+20+50+40+16+40+48+20+10+50+10</f>
        <v>1049</v>
      </c>
      <c r="M45" s="252"/>
      <c r="N45" s="256">
        <f t="shared" si="2"/>
        <v>1071</v>
      </c>
      <c r="O45" s="213"/>
      <c r="P45" s="214"/>
      <c r="Q45" s="187">
        <f t="shared" si="3"/>
        <v>1071</v>
      </c>
      <c r="R45" s="183">
        <f t="shared" si="4"/>
        <v>1071</v>
      </c>
      <c r="S45" s="215"/>
      <c r="T45" s="215"/>
    </row>
    <row r="46" spans="2:20" ht="15" customHeight="1" x14ac:dyDescent="0.3">
      <c r="B46" s="26">
        <v>31</v>
      </c>
      <c r="C46" s="216"/>
      <c r="D46" s="217"/>
      <c r="E46" s="218"/>
      <c r="F46" s="177">
        <f t="shared" si="0"/>
        <v>0</v>
      </c>
      <c r="G46" s="210"/>
      <c r="H46" s="211"/>
      <c r="I46" s="212"/>
      <c r="J46" s="176">
        <f t="shared" si="1"/>
        <v>0</v>
      </c>
      <c r="K46" s="250"/>
      <c r="L46" s="251"/>
      <c r="M46" s="252"/>
      <c r="N46" s="256">
        <f t="shared" si="2"/>
        <v>0</v>
      </c>
      <c r="O46" s="213"/>
      <c r="P46" s="214"/>
      <c r="Q46" s="187">
        <f t="shared" si="3"/>
        <v>0</v>
      </c>
      <c r="R46" s="183">
        <f t="shared" si="4"/>
        <v>0</v>
      </c>
      <c r="S46" s="215"/>
      <c r="T46" s="215"/>
    </row>
    <row r="47" spans="2:20" ht="15" customHeight="1" thickBot="1" x14ac:dyDescent="0.35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"/>
      <c r="T47" s="202"/>
    </row>
    <row r="48" spans="2:20" ht="15" customHeight="1" thickBot="1" x14ac:dyDescent="0.35">
      <c r="B48" s="42" t="s">
        <v>1</v>
      </c>
      <c r="C48" s="41"/>
      <c r="D48" s="178">
        <f t="shared" ref="D48:P48" si="5">SUM(D16:D46)</f>
        <v>0</v>
      </c>
      <c r="E48" s="179">
        <f>SUM(E16:E46)</f>
        <v>0</v>
      </c>
      <c r="F48" s="172">
        <f>SUM(F16:F46)</f>
        <v>0</v>
      </c>
      <c r="G48" s="180">
        <f t="shared" si="5"/>
        <v>0</v>
      </c>
      <c r="H48" s="181">
        <f t="shared" si="5"/>
        <v>0</v>
      </c>
      <c r="I48" s="182">
        <f t="shared" si="5"/>
        <v>0</v>
      </c>
      <c r="J48" s="175">
        <f>SUM(J16:J46)</f>
        <v>0</v>
      </c>
      <c r="K48" s="261">
        <f t="shared" si="5"/>
        <v>506</v>
      </c>
      <c r="L48" s="259">
        <f t="shared" si="5"/>
        <v>25154</v>
      </c>
      <c r="M48" s="260">
        <f t="shared" si="5"/>
        <v>0</v>
      </c>
      <c r="N48" s="258">
        <f>SUM(N16:N46)</f>
        <v>25660</v>
      </c>
      <c r="O48" s="195">
        <f t="shared" si="5"/>
        <v>0</v>
      </c>
      <c r="P48" s="195">
        <f t="shared" si="5"/>
        <v>0</v>
      </c>
      <c r="Q48" s="194">
        <f>SUM(Q16:Q46)</f>
        <v>25660</v>
      </c>
      <c r="R48" s="185">
        <f>SUM(R16:R46)</f>
        <v>25660</v>
      </c>
      <c r="S48" s="22"/>
      <c r="T48" s="202"/>
    </row>
    <row r="49" spans="2:18" ht="15" customHeight="1" x14ac:dyDescent="0.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4"/>
      <c r="R49" s="16"/>
    </row>
    <row r="50" spans="2:18" ht="15" customHeight="1" x14ac:dyDescent="0.3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>
        <f>+F48+J48+Q48</f>
        <v>25660</v>
      </c>
    </row>
    <row r="51" spans="2:18" ht="15" customHeight="1" x14ac:dyDescent="0.3">
      <c r="R51" s="228"/>
    </row>
    <row r="52" spans="2:18" ht="15" customHeight="1" x14ac:dyDescent="0.3"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>
        <f>+R50-R48</f>
        <v>0</v>
      </c>
    </row>
    <row r="53" spans="2:18" ht="15" customHeight="1" x14ac:dyDescent="0.3"/>
    <row r="54" spans="2:18" ht="15" customHeight="1" x14ac:dyDescent="0.3"/>
    <row r="55" spans="2:18" ht="15" customHeight="1" x14ac:dyDescent="0.3"/>
    <row r="56" spans="2:18" ht="15" customHeight="1" x14ac:dyDescent="0.3"/>
    <row r="57" spans="2:18" ht="15" customHeight="1" x14ac:dyDescent="0.3"/>
    <row r="58" spans="2:18" ht="15" customHeight="1" x14ac:dyDescent="0.3"/>
    <row r="59" spans="2:18" ht="15" customHeight="1" x14ac:dyDescent="0.3"/>
    <row r="60" spans="2:18" ht="15" customHeight="1" x14ac:dyDescent="0.3"/>
    <row r="61" spans="2:18" ht="15" customHeight="1" x14ac:dyDescent="0.3"/>
    <row r="62" spans="2:18" ht="15" customHeight="1" x14ac:dyDescent="0.3"/>
    <row r="63" spans="2:18" ht="15" customHeight="1" x14ac:dyDescent="0.3"/>
    <row r="64" spans="2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</sheetData>
  <mergeCells count="6">
    <mergeCell ref="D12:K12"/>
    <mergeCell ref="K14:Q14"/>
    <mergeCell ref="A7:Q7"/>
    <mergeCell ref="A8:Q8"/>
    <mergeCell ref="A9:Q9"/>
    <mergeCell ref="D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1</vt:i4>
      </vt:variant>
    </vt:vector>
  </HeadingPairs>
  <TitlesOfParts>
    <vt:vector size="59" baseType="lpstr">
      <vt:lpstr>ADM 1</vt:lpstr>
      <vt:lpstr>ADM 2</vt:lpstr>
      <vt:lpstr>LOS MINA</vt:lpstr>
      <vt:lpstr>LA VILLA</vt:lpstr>
      <vt:lpstr>LOS ALCARRIZOS</vt:lpstr>
      <vt:lpstr>LAS CAOBAS</vt:lpstr>
      <vt:lpstr>AZUA</vt:lpstr>
      <vt:lpstr>BARAHONA</vt:lpstr>
      <vt:lpstr>BAYAGUANA</vt:lpstr>
      <vt:lpstr>BATEY 6</vt:lpstr>
      <vt:lpstr>BOYA</vt:lpstr>
      <vt:lpstr>BOCA CACHON</vt:lpstr>
      <vt:lpstr>CRISTO REY</vt:lpstr>
      <vt:lpstr>CONSTANZA</vt:lpstr>
      <vt:lpstr>CRISTOBAL</vt:lpstr>
      <vt:lpstr>DAJABON</vt:lpstr>
      <vt:lpstr>EL SEYBO</vt:lpstr>
      <vt:lpstr>ELIAS PIÑA</vt:lpstr>
      <vt:lpstr>LA VEGA</vt:lpstr>
      <vt:lpstr>MAO</vt:lpstr>
      <vt:lpstr>LA ROMANA</vt:lpstr>
      <vt:lpstr>MONTE PLATA</vt:lpstr>
      <vt:lpstr>MANZANILLO</vt:lpstr>
      <vt:lpstr>MONTECRISTI</vt:lpstr>
      <vt:lpstr>NAGUA</vt:lpstr>
      <vt:lpstr>NAVARRETE</vt:lpstr>
      <vt:lpstr>OCOA</vt:lpstr>
      <vt:lpstr>NEYBA</vt:lpstr>
      <vt:lpstr>PEDERNALES</vt:lpstr>
      <vt:lpstr>PEKIN</vt:lpstr>
      <vt:lpstr>PLATANITOS</vt:lpstr>
      <vt:lpstr>QUISQUEYA</vt:lpstr>
      <vt:lpstr>PUERTO PLATA</vt:lpstr>
      <vt:lpstr>SAMANA</vt:lpstr>
      <vt:lpstr>SAN CRISTOBAL</vt:lpstr>
      <vt:lpstr>SAN FCO</vt:lpstr>
      <vt:lpstr>SAN JUAN</vt:lpstr>
      <vt:lpstr>SAN PEDRO</vt:lpstr>
      <vt:lpstr>SANTIAGO RDGUEZ</vt:lpstr>
      <vt:lpstr>VILLA GONZALEZ</vt:lpstr>
      <vt:lpstr>MOCA</vt:lpstr>
      <vt:lpstr>VILLA LIBERACION</vt:lpstr>
      <vt:lpstr>BONAO</vt:lpstr>
      <vt:lpstr>GALVAN</vt:lpstr>
      <vt:lpstr>BOHECHIO</vt:lpstr>
      <vt:lpstr>PARAISO</vt:lpstr>
      <vt:lpstr>ARROYO CANO</vt:lpstr>
      <vt:lpstr>POSTRER RIO</vt:lpstr>
      <vt:lpstr>EL YAQUE</vt:lpstr>
      <vt:lpstr>ENRIQUILLO</vt:lpstr>
      <vt:lpstr>HATO MAYOR</vt:lpstr>
      <vt:lpstr>LOTERIA NAC.</vt:lpstr>
      <vt:lpstr>UASD</vt:lpstr>
      <vt:lpstr>HIGUEY</vt:lpstr>
      <vt:lpstr>PRODUCCION TOTAL</vt:lpstr>
      <vt:lpstr>PRODUCCION TOTAL X COMEDOR</vt:lpstr>
      <vt:lpstr>PROD X COMEDOR DETALLADO</vt:lpstr>
      <vt:lpstr>Hoja1</vt:lpstr>
      <vt:lpstr>'PROD X COMEDOR DETALLADO'!Área_de_impresión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Matos</dc:creator>
  <cp:lastModifiedBy>contabilidad</cp:lastModifiedBy>
  <cp:lastPrinted>2022-10-20T19:10:30Z</cp:lastPrinted>
  <dcterms:created xsi:type="dcterms:W3CDTF">2013-02-22T20:06:32Z</dcterms:created>
  <dcterms:modified xsi:type="dcterms:W3CDTF">2022-10-20T19:11:32Z</dcterms:modified>
</cp:coreProperties>
</file>